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6" documentId="13_ncr:1_{DE169040-A4CF-4F84-A427-6D733771691B}" xr6:coauthVersionLast="47" xr6:coauthVersionMax="47" xr10:uidLastSave="{D1CA5DFC-1099-42A1-9843-7B0A3060ACC2}"/>
  <bookViews>
    <workbookView xWindow="30612" yWindow="-108" windowWidth="30936" windowHeight="16896" tabRatio="782" xr2:uid="{00000000-000D-0000-FFFF-FFFF00000000}"/>
  </bookViews>
  <sheets>
    <sheet name="Navigation Pane" sheetId="1" r:id="rId1"/>
    <sheet name="General Input Sheet" sheetId="2" r:id="rId2"/>
    <sheet name="Existing Trunk Assets - Pathway" sheetId="49" r:id="rId3"/>
    <sheet name="Exist Trunk Assets - Ferry" sheetId="50" r:id="rId4"/>
    <sheet name="Future Trunk Assets - Pathway" sheetId="38" r:id="rId5"/>
    <sheet name="Future Trunk Assets - Ferry" sheetId="51" r:id="rId6"/>
    <sheet name="Catchment Demand - Pathway" sheetId="57" r:id="rId7"/>
    <sheet name="Catchment Demand - Ferry" sheetId="58" r:id="rId8"/>
    <sheet name="Summary Cost Schedule" sheetId="9" r:id="rId9"/>
  </sheets>
  <externalReferences>
    <externalReference r:id="rId10"/>
    <externalReference r:id="rId11"/>
  </externalReferences>
  <definedNames>
    <definedName name="_xlnm._FilterDatabase" localSheetId="2" hidden="1">'Existing Trunk Assets - Pathway'!$B$11:$T$1480</definedName>
    <definedName name="_xlnm._FilterDatabase" localSheetId="5" hidden="1">'Future Trunk Assets - Ferry'!$A$17:$G$23</definedName>
    <definedName name="_xlnm._FilterDatabase" localSheetId="4" hidden="1">'Future Trunk Assets - Pathway'!$B$17:$F$103</definedName>
    <definedName name="AssetBeta">'General Input Sheet'!$G$27</definedName>
    <definedName name="CapStr">'General Input Sheet'!$G$25</definedName>
    <definedName name="Chargeind">'General Input Sheet'!#REF!</definedName>
    <definedName name="Debt">'General Input Sheet'!$G$28</definedName>
    <definedName name="Histindex">'General Input Sheet'!$E$38:$G$49</definedName>
    <definedName name="ICSInf">'General Input Sheet'!#REF!</definedName>
    <definedName name="land_cost">[1]Final!$A$1:$E$577</definedName>
    <definedName name="Landind">'General Input Sheet'!$G$51</definedName>
    <definedName name="LandInd_Existing">'General Input Sheet'!$G$52</definedName>
    <definedName name="MArgin">'General Input Sheet'!$G$21</definedName>
    <definedName name="Parkscatch">#REF!</definedName>
    <definedName name="PPI">'General Input Sheet'!$G$35</definedName>
    <definedName name="PPI_Existing">'General Input Sheet'!$G$36</definedName>
    <definedName name="_xlnm.Print_Area" localSheetId="7">'Catchment Demand - Ferry'!$B$2:$S$17</definedName>
    <definedName name="_xlnm.Print_Area" localSheetId="6">'Catchment Demand - Pathway'!$B$2:$S$18</definedName>
    <definedName name="_xlnm.Print_Area" localSheetId="3">'Exist Trunk Assets - Ferry'!$B$1:$T$43</definedName>
    <definedName name="_xlnm.Print_Area" localSheetId="2">'Existing Trunk Assets - Pathway'!$B$1:$U$1483</definedName>
    <definedName name="_xlnm.Print_Area" localSheetId="5">'Future Trunk Assets - Ferry'!$A$3:$AS$25</definedName>
    <definedName name="_xlnm.Print_Area" localSheetId="4">'Future Trunk Assets - Pathway'!$A$1:$AI$105</definedName>
    <definedName name="_xlnm.Print_Area" localSheetId="1">'General Input Sheet'!$A$1:$L$68</definedName>
    <definedName name="_xlnm.Print_Area" localSheetId="0">'Navigation Pane'!$A$1:$P$23</definedName>
    <definedName name="_xlnm.Print_Area" localSheetId="8">'Summary Cost Schedule'!$A$1:$L$17</definedName>
    <definedName name="_xlnm.Print_Titles" localSheetId="3">'Exist Trunk Assets - Ferry'!$B:$B,'Exist Trunk Assets - Ferry'!$10:$13</definedName>
    <definedName name="_xlnm.Print_Titles" localSheetId="2">'Existing Trunk Assets - Pathway'!$B:$B,'Existing Trunk Assets - Pathway'!$9:$12</definedName>
    <definedName name="_xlnm.Print_Titles" localSheetId="5">'Future Trunk Assets - Ferry'!$C:$C,'Future Trunk Assets - Ferry'!$13:$16</definedName>
    <definedName name="_xlnm.Print_Titles" localSheetId="4">'Future Trunk Assets - Pathway'!$C:$C,'Future Trunk Assets - Pathway'!$13:$16</definedName>
    <definedName name="Risk">'General Input Sheet'!$G$26</definedName>
    <definedName name="TENYr">'General Input Sheet'!$G$19</definedName>
    <definedName name="WACC">'General Input Sheet'!$G$32</definedName>
    <definedName name="WACC1">'General Input Sheet'!$G$23</definedName>
    <definedName name="WACC2">'General Input Sheet'!$G$30</definedName>
    <definedName name="Workdiscount">[2]Source!$N$7</definedName>
    <definedName name="YEAR">'General Input Sheet'!$G$8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73" i="38" l="1"/>
  <c r="N58" i="38"/>
  <c r="N59" i="38"/>
  <c r="N60" i="38"/>
  <c r="N61" i="38"/>
  <c r="L58" i="38"/>
  <c r="L59" i="38"/>
  <c r="L60" i="38"/>
  <c r="X73" i="38" l="1"/>
  <c r="Z73" i="38"/>
  <c r="X74" i="38"/>
  <c r="Z74" i="38"/>
  <c r="X75" i="38"/>
  <c r="Z75" i="38"/>
  <c r="X76" i="38"/>
  <c r="Z76" i="38"/>
  <c r="X77" i="38"/>
  <c r="Z77" i="38"/>
  <c r="X78" i="38"/>
  <c r="Z78" i="38"/>
  <c r="S73" i="38"/>
  <c r="T73" i="38"/>
  <c r="S74" i="38"/>
  <c r="T74" i="38"/>
  <c r="S75" i="38"/>
  <c r="T75" i="38"/>
  <c r="S76" i="38"/>
  <c r="T76" i="38"/>
  <c r="S77" i="38"/>
  <c r="T77" i="38"/>
  <c r="S78" i="38"/>
  <c r="T78" i="38"/>
  <c r="U78" i="38" l="1"/>
  <c r="Y78" i="38" s="1"/>
  <c r="AD78" i="38" s="1"/>
  <c r="U77" i="38"/>
  <c r="Y77" i="38" s="1"/>
  <c r="AE77" i="38" s="1"/>
  <c r="AF77" i="38" s="1"/>
  <c r="AH77" i="38" s="1"/>
  <c r="U76" i="38"/>
  <c r="Y76" i="38" s="1"/>
  <c r="AE76" i="38" s="1"/>
  <c r="AF76" i="38" s="1"/>
  <c r="AH76" i="38" s="1"/>
  <c r="U75" i="38"/>
  <c r="Y75" i="38" s="1"/>
  <c r="AD75" i="38" s="1"/>
  <c r="U73" i="38"/>
  <c r="Y73" i="38" s="1"/>
  <c r="AD73" i="38" s="1"/>
  <c r="U74" i="38"/>
  <c r="Y74" i="38" s="1"/>
  <c r="AE78" i="38" l="1"/>
  <c r="AF78" i="38" s="1"/>
  <c r="AH78" i="38" s="1"/>
  <c r="AE75" i="38"/>
  <c r="AF75" i="38" s="1"/>
  <c r="AH75" i="38" s="1"/>
  <c r="AD77" i="38"/>
  <c r="AE73" i="38"/>
  <c r="AF73" i="38" s="1"/>
  <c r="AH73" i="38" s="1"/>
  <c r="AD76" i="38"/>
  <c r="AE74" i="38"/>
  <c r="AF74" i="38" s="1"/>
  <c r="AH74" i="38" s="1"/>
  <c r="AD74" i="38"/>
  <c r="N76" i="38" l="1"/>
  <c r="N77" i="38"/>
  <c r="N78" i="38"/>
  <c r="N79" i="38"/>
  <c r="L76" i="38"/>
  <c r="L77" i="38"/>
  <c r="L78" i="38"/>
  <c r="L79" i="38"/>
  <c r="L80" i="38"/>
  <c r="L73" i="38"/>
  <c r="L74" i="38"/>
  <c r="L75" i="38"/>
  <c r="N62" i="38"/>
  <c r="L61" i="38"/>
  <c r="N53" i="38"/>
  <c r="N54" i="38"/>
  <c r="L53" i="38"/>
  <c r="L54" i="38"/>
  <c r="Z58" i="38"/>
  <c r="X58" i="38"/>
  <c r="T58" i="38"/>
  <c r="S58" i="38"/>
  <c r="U58" i="38" l="1"/>
  <c r="Y58" i="38" s="1"/>
  <c r="AE58" i="38" s="1"/>
  <c r="AF58" i="38" s="1"/>
  <c r="AD58" i="38" l="1"/>
  <c r="AH58" i="38"/>
  <c r="AH18" i="51" l="1"/>
  <c r="G14" i="9"/>
  <c r="AB19" i="51"/>
  <c r="K43" i="50"/>
  <c r="N43" i="50"/>
  <c r="K14" i="49"/>
  <c r="AD17" i="51"/>
  <c r="Z18" i="38" l="1"/>
  <c r="Z22" i="38"/>
  <c r="Z23" i="38"/>
  <c r="Z25" i="38"/>
  <c r="Z26" i="38"/>
  <c r="Z31" i="38"/>
  <c r="Z34" i="38"/>
  <c r="Z35" i="38"/>
  <c r="Z36" i="38"/>
  <c r="Z38" i="38"/>
  <c r="Z42" i="38"/>
  <c r="Z44" i="38"/>
  <c r="Z45" i="38"/>
  <c r="Z48" i="38"/>
  <c r="Z50" i="38"/>
  <c r="Z62" i="38"/>
  <c r="Z66" i="38"/>
  <c r="Z67" i="38"/>
  <c r="Z68" i="38"/>
  <c r="Z69" i="38"/>
  <c r="Z70" i="38"/>
  <c r="Z71" i="38"/>
  <c r="Z88" i="38"/>
  <c r="Z89" i="38"/>
  <c r="Z90" i="38"/>
  <c r="Z91" i="38"/>
  <c r="Z92" i="38"/>
  <c r="Z93" i="38"/>
  <c r="Z94" i="38"/>
  <c r="Z98" i="38"/>
  <c r="Z99" i="38"/>
  <c r="AD19" i="51"/>
  <c r="AD20" i="51"/>
  <c r="AD21" i="51"/>
  <c r="AD22" i="51"/>
  <c r="K16" i="49"/>
  <c r="M8" i="57" l="1"/>
  <c r="Z46" i="38" s="1"/>
  <c r="Q1441" i="49"/>
  <c r="Q1442" i="49"/>
  <c r="Q1443" i="49"/>
  <c r="Q1444" i="49"/>
  <c r="Q1445" i="49"/>
  <c r="Q1446" i="49"/>
  <c r="Q1447" i="49"/>
  <c r="Q1448" i="49"/>
  <c r="Q1449" i="49"/>
  <c r="Q1450" i="49"/>
  <c r="Q1451" i="49"/>
  <c r="Q1452" i="49"/>
  <c r="Q1453" i="49"/>
  <c r="Q1454" i="49"/>
  <c r="Q1455" i="49"/>
  <c r="Q1456" i="49"/>
  <c r="Q1457" i="49"/>
  <c r="Q1458" i="49"/>
  <c r="Q1459" i="49"/>
  <c r="Q1460" i="49"/>
  <c r="Q1461" i="49"/>
  <c r="Q1462" i="49"/>
  <c r="Q1463" i="49"/>
  <c r="Q1464" i="49"/>
  <c r="Q1465" i="49"/>
  <c r="Q1466" i="49"/>
  <c r="Q1467" i="49"/>
  <c r="Q1468" i="49"/>
  <c r="Q1469" i="49"/>
  <c r="Q1470" i="49"/>
  <c r="Q1471" i="49"/>
  <c r="Q1472" i="49"/>
  <c r="Q1473" i="49"/>
  <c r="Q1474" i="49"/>
  <c r="Q1475" i="49"/>
  <c r="Q1476" i="49"/>
  <c r="Q1477" i="49"/>
  <c r="Q1478" i="49"/>
  <c r="Q1479" i="49"/>
  <c r="Q1480" i="49"/>
  <c r="Z17" i="38" l="1"/>
  <c r="Z28" i="38"/>
  <c r="Z39" i="38"/>
  <c r="Z53" i="38"/>
  <c r="Z63" i="38"/>
  <c r="Z102" i="38"/>
  <c r="Z97" i="38"/>
  <c r="Z29" i="38"/>
  <c r="Z40" i="38"/>
  <c r="Z51" i="38"/>
  <c r="Z64" i="38"/>
  <c r="Z81" i="38"/>
  <c r="Z103" i="38"/>
  <c r="Z85" i="38"/>
  <c r="Z19" i="38"/>
  <c r="Z30" i="38"/>
  <c r="Z41" i="38"/>
  <c r="Z52" i="38"/>
  <c r="Z65" i="38"/>
  <c r="Z79" i="38"/>
  <c r="Z27" i="38"/>
  <c r="Z54" i="38"/>
  <c r="Z80" i="38"/>
  <c r="Z59" i="38"/>
  <c r="Z20" i="38"/>
  <c r="Z32" i="38"/>
  <c r="Z43" i="38"/>
  <c r="Z55" i="38"/>
  <c r="Z82" i="38"/>
  <c r="Z21" i="38"/>
  <c r="Z33" i="38"/>
  <c r="Z56" i="38"/>
  <c r="Z83" i="38"/>
  <c r="Z95" i="38"/>
  <c r="Z57" i="38"/>
  <c r="Z84" i="38"/>
  <c r="Z96" i="38"/>
  <c r="Z24" i="38"/>
  <c r="Z47" i="38"/>
  <c r="Z86" i="38"/>
  <c r="Z61" i="38"/>
  <c r="Z100" i="38"/>
  <c r="Z60" i="38"/>
  <c r="Z72" i="38"/>
  <c r="Z87" i="38"/>
  <c r="Z49" i="38"/>
  <c r="Z37" i="38"/>
  <c r="Z101" i="38"/>
  <c r="M9" i="58"/>
  <c r="AD23" i="51" l="1"/>
  <c r="AD18" i="51"/>
  <c r="L11" i="57"/>
  <c r="G11" i="57"/>
  <c r="H11" i="57"/>
  <c r="G11" i="58"/>
  <c r="H11" i="58"/>
  <c r="S16" i="58"/>
  <c r="R16" i="58"/>
  <c r="Q16" i="58"/>
  <c r="P16" i="58"/>
  <c r="O16" i="58"/>
  <c r="N16" i="58"/>
  <c r="M16" i="58"/>
  <c r="L16" i="58"/>
  <c r="K16" i="58"/>
  <c r="J16" i="58"/>
  <c r="I16" i="58"/>
  <c r="H16" i="58"/>
  <c r="G16" i="58"/>
  <c r="F16" i="58"/>
  <c r="E16" i="58"/>
  <c r="S16" i="57"/>
  <c r="N16" i="57"/>
  <c r="I16" i="57"/>
  <c r="J9" i="58" l="1"/>
  <c r="R16" i="57"/>
  <c r="Q16" i="57"/>
  <c r="P16" i="57"/>
  <c r="O16" i="57"/>
  <c r="M16" i="57"/>
  <c r="L16" i="57"/>
  <c r="K16" i="57"/>
  <c r="J16" i="57"/>
  <c r="H16" i="57"/>
  <c r="G16" i="57"/>
  <c r="F16" i="57"/>
  <c r="E16" i="57"/>
  <c r="J8" i="57" l="1"/>
  <c r="M40" i="50"/>
  <c r="M41" i="50"/>
  <c r="M42" i="50"/>
  <c r="J15" i="58" l="1"/>
  <c r="K15" i="58" s="1"/>
  <c r="L15" i="58" s="1"/>
  <c r="M15" i="58" s="1"/>
  <c r="N15" i="58" s="1"/>
  <c r="O15" i="58" s="1"/>
  <c r="P15" i="58" s="1"/>
  <c r="Q15" i="58" s="1"/>
  <c r="R15" i="58" s="1"/>
  <c r="S15" i="58" s="1"/>
  <c r="C16" i="58" l="1"/>
  <c r="B16" i="58"/>
  <c r="L11" i="58"/>
  <c r="F11" i="58"/>
  <c r="E11" i="58"/>
  <c r="D11" i="58"/>
  <c r="D10" i="9" s="1"/>
  <c r="L8" i="58"/>
  <c r="E8" i="58"/>
  <c r="F8" i="58" s="1"/>
  <c r="G8" i="58" s="1"/>
  <c r="B2" i="58"/>
  <c r="J11" i="58" l="1"/>
  <c r="E10" i="9" s="1"/>
  <c r="J15" i="57" l="1"/>
  <c r="K15" i="57" s="1"/>
  <c r="L15" i="57" l="1"/>
  <c r="M15" i="57" s="1"/>
  <c r="N15" i="57" s="1"/>
  <c r="O15" i="57" s="1"/>
  <c r="P15" i="57" s="1"/>
  <c r="Q15" i="57" s="1"/>
  <c r="R15" i="57" s="1"/>
  <c r="S15" i="57" s="1"/>
  <c r="C16" i="57"/>
  <c r="B16" i="57"/>
  <c r="F11" i="57"/>
  <c r="E11" i="57"/>
  <c r="D11" i="57"/>
  <c r="D14" i="9" s="1"/>
  <c r="L7" i="57"/>
  <c r="E7" i="57"/>
  <c r="B2" i="57"/>
  <c r="J11" i="57" l="1"/>
  <c r="E14" i="9" s="1"/>
  <c r="F7" i="57"/>
  <c r="G7" i="57" s="1"/>
  <c r="W18" i="51"/>
  <c r="W19" i="51"/>
  <c r="W20" i="51"/>
  <c r="W21" i="51"/>
  <c r="W22" i="51"/>
  <c r="W23" i="51"/>
  <c r="W17" i="51"/>
  <c r="U18" i="51"/>
  <c r="U19" i="51"/>
  <c r="U20" i="51"/>
  <c r="V20" i="51" s="1"/>
  <c r="U21" i="51"/>
  <c r="U22" i="51"/>
  <c r="U23" i="51"/>
  <c r="V23" i="51" s="1"/>
  <c r="U17" i="51"/>
  <c r="T18" i="38"/>
  <c r="T19" i="38"/>
  <c r="T20" i="38"/>
  <c r="T21" i="38"/>
  <c r="T22" i="38"/>
  <c r="T23" i="38"/>
  <c r="T24" i="38"/>
  <c r="T25" i="38"/>
  <c r="T26" i="38"/>
  <c r="T27" i="38"/>
  <c r="T28" i="38"/>
  <c r="T29" i="38"/>
  <c r="T30" i="38"/>
  <c r="T31" i="38"/>
  <c r="T32" i="38"/>
  <c r="T33" i="38"/>
  <c r="T34" i="38"/>
  <c r="T35" i="38"/>
  <c r="T36" i="38"/>
  <c r="T37" i="38"/>
  <c r="T38" i="38"/>
  <c r="T39" i="38"/>
  <c r="T40" i="38"/>
  <c r="T41" i="38"/>
  <c r="T42" i="38"/>
  <c r="T43" i="38"/>
  <c r="T44" i="38"/>
  <c r="T45" i="38"/>
  <c r="T46" i="38"/>
  <c r="T47" i="38"/>
  <c r="T48" i="38"/>
  <c r="T49" i="38"/>
  <c r="T50" i="38"/>
  <c r="T53" i="38"/>
  <c r="T51" i="38"/>
  <c r="T52" i="38"/>
  <c r="T54" i="38"/>
  <c r="T55" i="38"/>
  <c r="T56" i="38"/>
  <c r="T57" i="38"/>
  <c r="T59" i="38"/>
  <c r="T60" i="38"/>
  <c r="T61" i="38"/>
  <c r="T62" i="38"/>
  <c r="T63" i="38"/>
  <c r="T64" i="38"/>
  <c r="T65" i="38"/>
  <c r="T66" i="38"/>
  <c r="T67" i="38"/>
  <c r="T68" i="38"/>
  <c r="T69" i="38"/>
  <c r="T70" i="38"/>
  <c r="T71" i="38"/>
  <c r="T72" i="38"/>
  <c r="T81" i="38"/>
  <c r="T79" i="38"/>
  <c r="T80" i="38"/>
  <c r="T82" i="38"/>
  <c r="T83" i="38"/>
  <c r="T84" i="38"/>
  <c r="T85" i="38"/>
  <c r="T86" i="38"/>
  <c r="T87" i="38"/>
  <c r="T88" i="38"/>
  <c r="T89" i="38"/>
  <c r="T90" i="38"/>
  <c r="T91" i="38"/>
  <c r="T93" i="38"/>
  <c r="T94" i="38"/>
  <c r="T92" i="38"/>
  <c r="T95" i="38"/>
  <c r="T96" i="38"/>
  <c r="T97" i="38"/>
  <c r="T98" i="38"/>
  <c r="T99" i="38"/>
  <c r="T100" i="38"/>
  <c r="T101" i="38"/>
  <c r="T102" i="38"/>
  <c r="T103" i="38"/>
  <c r="T17" i="38"/>
  <c r="S18" i="38"/>
  <c r="S19" i="38"/>
  <c r="S20" i="38"/>
  <c r="S21" i="38"/>
  <c r="S22" i="38"/>
  <c r="S23" i="38"/>
  <c r="S24" i="38"/>
  <c r="S25" i="38"/>
  <c r="S26" i="38"/>
  <c r="S27" i="38"/>
  <c r="S28" i="38"/>
  <c r="S29" i="38"/>
  <c r="S30" i="38"/>
  <c r="S31" i="38"/>
  <c r="S32" i="38"/>
  <c r="S33" i="38"/>
  <c r="S34" i="38"/>
  <c r="S35" i="38"/>
  <c r="S36" i="38"/>
  <c r="S37" i="38"/>
  <c r="S38" i="38"/>
  <c r="S39" i="38"/>
  <c r="S40" i="38"/>
  <c r="S41" i="38"/>
  <c r="S42" i="38"/>
  <c r="S43" i="38"/>
  <c r="S44" i="38"/>
  <c r="S45" i="38"/>
  <c r="S46" i="38"/>
  <c r="S47" i="38"/>
  <c r="S48" i="38"/>
  <c r="S49" i="38"/>
  <c r="S50" i="38"/>
  <c r="S53" i="38"/>
  <c r="S51" i="38"/>
  <c r="S52" i="38"/>
  <c r="S54" i="38"/>
  <c r="S55" i="38"/>
  <c r="S56" i="38"/>
  <c r="S57" i="38"/>
  <c r="S59" i="38"/>
  <c r="S60" i="38"/>
  <c r="S61" i="38"/>
  <c r="S62" i="38"/>
  <c r="S63" i="38"/>
  <c r="S64" i="38"/>
  <c r="S65" i="38"/>
  <c r="S66" i="38"/>
  <c r="S67" i="38"/>
  <c r="S68" i="38"/>
  <c r="S69" i="38"/>
  <c r="S70" i="38"/>
  <c r="S71" i="38"/>
  <c r="S72" i="38"/>
  <c r="S81" i="38"/>
  <c r="S79" i="38"/>
  <c r="S80" i="38"/>
  <c r="S82" i="38"/>
  <c r="S83" i="38"/>
  <c r="S84" i="38"/>
  <c r="S85" i="38"/>
  <c r="S86" i="38"/>
  <c r="S87" i="38"/>
  <c r="S88" i="38"/>
  <c r="S89" i="38"/>
  <c r="S90" i="38"/>
  <c r="S91" i="38"/>
  <c r="S93" i="38"/>
  <c r="S94" i="38"/>
  <c r="S92" i="38"/>
  <c r="S95" i="38"/>
  <c r="S96" i="38"/>
  <c r="S97" i="38"/>
  <c r="S98" i="38"/>
  <c r="S99" i="38"/>
  <c r="S100" i="38"/>
  <c r="S101" i="38"/>
  <c r="S102" i="38"/>
  <c r="S103" i="38"/>
  <c r="S17" i="38"/>
  <c r="E54" i="2"/>
  <c r="N18" i="38"/>
  <c r="N19" i="38"/>
  <c r="N20" i="38"/>
  <c r="N21" i="38"/>
  <c r="N22" i="38"/>
  <c r="N23" i="38"/>
  <c r="N24" i="38"/>
  <c r="N25" i="38"/>
  <c r="N26" i="38"/>
  <c r="N27" i="38"/>
  <c r="N28" i="38"/>
  <c r="N29" i="38"/>
  <c r="N30" i="38"/>
  <c r="N31" i="38"/>
  <c r="N32" i="38"/>
  <c r="N33" i="38"/>
  <c r="N34" i="38"/>
  <c r="N35" i="38"/>
  <c r="N36" i="38"/>
  <c r="N37" i="38"/>
  <c r="N38" i="38"/>
  <c r="N39" i="38"/>
  <c r="N40" i="38"/>
  <c r="N41" i="38"/>
  <c r="N42" i="38"/>
  <c r="N43" i="38"/>
  <c r="N44" i="38"/>
  <c r="N45" i="38"/>
  <c r="N46" i="38"/>
  <c r="N47" i="38"/>
  <c r="N48" i="38"/>
  <c r="N49" i="38"/>
  <c r="N50" i="38"/>
  <c r="N51" i="38"/>
  <c r="N52" i="38"/>
  <c r="N55" i="38"/>
  <c r="N56" i="38"/>
  <c r="N57" i="38"/>
  <c r="N63" i="38"/>
  <c r="N64" i="38"/>
  <c r="N65" i="38"/>
  <c r="N66" i="38"/>
  <c r="N67" i="38"/>
  <c r="N68" i="38"/>
  <c r="N69" i="38"/>
  <c r="N70" i="38"/>
  <c r="N71" i="38"/>
  <c r="N72" i="38"/>
  <c r="N74" i="38"/>
  <c r="N75" i="38"/>
  <c r="N81" i="38"/>
  <c r="N80" i="38"/>
  <c r="N82" i="38"/>
  <c r="N83" i="38"/>
  <c r="N84" i="38"/>
  <c r="N85" i="38"/>
  <c r="N86" i="38"/>
  <c r="N87" i="38"/>
  <c r="N88" i="38"/>
  <c r="N89" i="38"/>
  <c r="N90" i="38"/>
  <c r="N91" i="38"/>
  <c r="N93" i="38"/>
  <c r="N94" i="38"/>
  <c r="N92" i="38"/>
  <c r="N95" i="38"/>
  <c r="N96" i="38"/>
  <c r="N97" i="38"/>
  <c r="N98" i="38"/>
  <c r="N99" i="38"/>
  <c r="N100" i="38"/>
  <c r="N101" i="38"/>
  <c r="N102" i="38"/>
  <c r="N103" i="38"/>
  <c r="N17" i="38"/>
  <c r="E55" i="2" l="1"/>
  <c r="U90" i="38"/>
  <c r="Y90" i="38" s="1"/>
  <c r="AD90" i="38" s="1"/>
  <c r="U63" i="38"/>
  <c r="Y63" i="38" s="1"/>
  <c r="AD63" i="38" s="1"/>
  <c r="U39" i="38"/>
  <c r="Y39" i="38" s="1"/>
  <c r="AD39" i="38" s="1"/>
  <c r="U89" i="38"/>
  <c r="Y89" i="38" s="1"/>
  <c r="AD89" i="38" s="1"/>
  <c r="U62" i="38"/>
  <c r="Y62" i="38" s="1"/>
  <c r="AD62" i="38" s="1"/>
  <c r="U38" i="38"/>
  <c r="Y38" i="38" s="1"/>
  <c r="AD38" i="38" s="1"/>
  <c r="U80" i="38"/>
  <c r="Y80" i="38" s="1"/>
  <c r="AD80" i="38" s="1"/>
  <c r="U54" i="38"/>
  <c r="Y54" i="38" s="1"/>
  <c r="AD54" i="38" s="1"/>
  <c r="U31" i="38"/>
  <c r="Y31" i="38" s="1"/>
  <c r="AD31" i="38" s="1"/>
  <c r="U84" i="38"/>
  <c r="Y84" i="38" s="1"/>
  <c r="AD84" i="38" s="1"/>
  <c r="U34" i="38"/>
  <c r="Y34" i="38" s="1"/>
  <c r="AD34" i="38" s="1"/>
  <c r="U96" i="38"/>
  <c r="Y96" i="38" s="1"/>
  <c r="AD96" i="38" s="1"/>
  <c r="U57" i="38"/>
  <c r="Y57" i="38" s="1"/>
  <c r="AD57" i="38" s="1"/>
  <c r="U45" i="38"/>
  <c r="Y45" i="38" s="1"/>
  <c r="AD45" i="38" s="1"/>
  <c r="U69" i="38"/>
  <c r="Y69" i="38" s="1"/>
  <c r="AD69" i="38" s="1"/>
  <c r="U22" i="38"/>
  <c r="Y22" i="38" s="1"/>
  <c r="U97" i="38"/>
  <c r="Y97" i="38" s="1"/>
  <c r="AD97" i="38" s="1"/>
  <c r="U70" i="38"/>
  <c r="Y70" i="38" s="1"/>
  <c r="AD70" i="38" s="1"/>
  <c r="U46" i="38"/>
  <c r="Y46" i="38" s="1"/>
  <c r="AD46" i="38" s="1"/>
  <c r="U23" i="38"/>
  <c r="Y23" i="38" s="1"/>
  <c r="AD23" i="38" s="1"/>
  <c r="U98" i="38"/>
  <c r="Y98" i="38" s="1"/>
  <c r="AD98" i="38" s="1"/>
  <c r="U71" i="38"/>
  <c r="Y71" i="38" s="1"/>
  <c r="AD71" i="38" s="1"/>
  <c r="U47" i="38"/>
  <c r="Y47" i="38" s="1"/>
  <c r="AD47" i="38" s="1"/>
  <c r="U24" i="38"/>
  <c r="Y24" i="38" s="1"/>
  <c r="AD24" i="38" s="1"/>
  <c r="E56" i="2"/>
  <c r="E57" i="2" s="1"/>
  <c r="E58" i="2" s="1"/>
  <c r="E59" i="2" s="1"/>
  <c r="E60" i="2" s="1"/>
  <c r="V19" i="51"/>
  <c r="V18" i="51"/>
  <c r="V21" i="51"/>
  <c r="G51" i="2"/>
  <c r="U102" i="38"/>
  <c r="Y102" i="38" s="1"/>
  <c r="AD102" i="38" s="1"/>
  <c r="U86" i="38"/>
  <c r="Y86" i="38" s="1"/>
  <c r="AD86" i="38" s="1"/>
  <c r="U53" i="38"/>
  <c r="Y53" i="38" s="1"/>
  <c r="AD53" i="38" s="1"/>
  <c r="U101" i="38"/>
  <c r="Y101" i="38" s="1"/>
  <c r="AD101" i="38" s="1"/>
  <c r="U94" i="38"/>
  <c r="Y94" i="38" s="1"/>
  <c r="AD94" i="38" s="1"/>
  <c r="U85" i="38"/>
  <c r="Y85" i="38" s="1"/>
  <c r="AD85" i="38" s="1"/>
  <c r="U66" i="38"/>
  <c r="Y66" i="38" s="1"/>
  <c r="AD66" i="38" s="1"/>
  <c r="U59" i="38"/>
  <c r="Y59" i="38" s="1"/>
  <c r="AD59" i="38" s="1"/>
  <c r="U50" i="38"/>
  <c r="Y50" i="38" s="1"/>
  <c r="AD50" i="38" s="1"/>
  <c r="U42" i="38"/>
  <c r="Y42" i="38" s="1"/>
  <c r="AD42" i="38" s="1"/>
  <c r="U27" i="38"/>
  <c r="Y27" i="38" s="1"/>
  <c r="AD27" i="38" s="1"/>
  <c r="V17" i="51"/>
  <c r="U28" i="38"/>
  <c r="Y28" i="38" s="1"/>
  <c r="AD28" i="38" s="1"/>
  <c r="U35" i="38"/>
  <c r="Y35" i="38" s="1"/>
  <c r="AD35" i="38" s="1"/>
  <c r="V22" i="51"/>
  <c r="U95" i="38"/>
  <c r="Y95" i="38" s="1"/>
  <c r="AD95" i="38" s="1"/>
  <c r="U83" i="38"/>
  <c r="Y83" i="38" s="1"/>
  <c r="AD83" i="38" s="1"/>
  <c r="U68" i="38"/>
  <c r="Y68" i="38" s="1"/>
  <c r="AD68" i="38" s="1"/>
  <c r="U56" i="38"/>
  <c r="Y56" i="38" s="1"/>
  <c r="AD56" i="38" s="1"/>
  <c r="U44" i="38"/>
  <c r="Y44" i="38" s="1"/>
  <c r="AD44" i="38" s="1"/>
  <c r="U33" i="38"/>
  <c r="Y33" i="38" s="1"/>
  <c r="AD33" i="38" s="1"/>
  <c r="U21" i="38"/>
  <c r="Y21" i="38" s="1"/>
  <c r="AD21" i="38" s="1"/>
  <c r="U17" i="38"/>
  <c r="Y17" i="38" s="1"/>
  <c r="U93" i="38"/>
  <c r="Y93" i="38" s="1"/>
  <c r="AD93" i="38" s="1"/>
  <c r="U79" i="38"/>
  <c r="Y79" i="38" s="1"/>
  <c r="AD79" i="38" s="1"/>
  <c r="U65" i="38"/>
  <c r="Y65" i="38" s="1"/>
  <c r="AD65" i="38" s="1"/>
  <c r="U52" i="38"/>
  <c r="Y52" i="38" s="1"/>
  <c r="AD52" i="38" s="1"/>
  <c r="U41" i="38"/>
  <c r="Y41" i="38" s="1"/>
  <c r="AD41" i="38" s="1"/>
  <c r="U30" i="38"/>
  <c r="Y30" i="38" s="1"/>
  <c r="AD30" i="38" s="1"/>
  <c r="U19" i="38"/>
  <c r="Y19" i="38" s="1"/>
  <c r="AD19" i="38" s="1"/>
  <c r="U82" i="38"/>
  <c r="Y82" i="38" s="1"/>
  <c r="AD82" i="38" s="1"/>
  <c r="U67" i="38"/>
  <c r="Y67" i="38" s="1"/>
  <c r="AD67" i="38" s="1"/>
  <c r="U55" i="38"/>
  <c r="Y55" i="38" s="1"/>
  <c r="AD55" i="38" s="1"/>
  <c r="U43" i="38"/>
  <c r="Y43" i="38" s="1"/>
  <c r="AD43" i="38" s="1"/>
  <c r="U32" i="38"/>
  <c r="Y32" i="38" s="1"/>
  <c r="AD32" i="38" s="1"/>
  <c r="U20" i="38"/>
  <c r="Y20" i="38" s="1"/>
  <c r="AD20" i="38" s="1"/>
  <c r="U103" i="38"/>
  <c r="Y103" i="38" s="1"/>
  <c r="AD103" i="38" s="1"/>
  <c r="U91" i="38"/>
  <c r="Y91" i="38" s="1"/>
  <c r="AD91" i="38" s="1"/>
  <c r="U81" i="38"/>
  <c r="Y81" i="38" s="1"/>
  <c r="AD81" i="38" s="1"/>
  <c r="U64" i="38"/>
  <c r="Y64" i="38" s="1"/>
  <c r="AD64" i="38" s="1"/>
  <c r="U51" i="38"/>
  <c r="Y51" i="38" s="1"/>
  <c r="AD51" i="38" s="1"/>
  <c r="U40" i="38"/>
  <c r="Y40" i="38" s="1"/>
  <c r="AD40" i="38" s="1"/>
  <c r="U29" i="38"/>
  <c r="Y29" i="38" s="1"/>
  <c r="AD29" i="38" s="1"/>
  <c r="U18" i="38"/>
  <c r="Y18" i="38" s="1"/>
  <c r="AD18" i="38" s="1"/>
  <c r="U26" i="38"/>
  <c r="Y26" i="38" s="1"/>
  <c r="AD26" i="38" s="1"/>
  <c r="U100" i="38"/>
  <c r="Y100" i="38" s="1"/>
  <c r="AD100" i="38" s="1"/>
  <c r="U88" i="38"/>
  <c r="Y88" i="38" s="1"/>
  <c r="AD88" i="38" s="1"/>
  <c r="U61" i="38"/>
  <c r="Y61" i="38" s="1"/>
  <c r="AD61" i="38" s="1"/>
  <c r="U49" i="38"/>
  <c r="Y49" i="38" s="1"/>
  <c r="AD49" i="38" s="1"/>
  <c r="U37" i="38"/>
  <c r="Y37" i="38" s="1"/>
  <c r="AD37" i="38" s="1"/>
  <c r="U99" i="38"/>
  <c r="Y99" i="38" s="1"/>
  <c r="AD99" i="38" s="1"/>
  <c r="U87" i="38"/>
  <c r="Y87" i="38" s="1"/>
  <c r="AD87" i="38" s="1"/>
  <c r="U72" i="38"/>
  <c r="Y72" i="38" s="1"/>
  <c r="AD72" i="38" s="1"/>
  <c r="U60" i="38"/>
  <c r="Y60" i="38" s="1"/>
  <c r="AD60" i="38" s="1"/>
  <c r="U48" i="38"/>
  <c r="Y48" i="38" s="1"/>
  <c r="AD48" i="38" s="1"/>
  <c r="U36" i="38"/>
  <c r="Y36" i="38" s="1"/>
  <c r="AD36" i="38" s="1"/>
  <c r="U25" i="38"/>
  <c r="Y25" i="38" s="1"/>
  <c r="AD25" i="38" s="1"/>
  <c r="U92" i="38"/>
  <c r="Y92" i="38" s="1"/>
  <c r="AD92" i="38" s="1"/>
  <c r="L18" i="38"/>
  <c r="L19" i="38"/>
  <c r="L20" i="38"/>
  <c r="L21" i="38"/>
  <c r="L22" i="38"/>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5" i="38"/>
  <c r="L56" i="38"/>
  <c r="L57" i="38"/>
  <c r="L62" i="38"/>
  <c r="L63" i="38"/>
  <c r="L64" i="38"/>
  <c r="L65" i="38"/>
  <c r="L66" i="38"/>
  <c r="L67" i="38"/>
  <c r="L68" i="38"/>
  <c r="L69" i="38"/>
  <c r="L70" i="38"/>
  <c r="L71" i="38"/>
  <c r="L72" i="38"/>
  <c r="L81" i="38"/>
  <c r="L82" i="38"/>
  <c r="L83" i="38"/>
  <c r="L84" i="38"/>
  <c r="L85" i="38"/>
  <c r="L86" i="38"/>
  <c r="L87" i="38"/>
  <c r="L88" i="38"/>
  <c r="L89" i="38"/>
  <c r="L90" i="38"/>
  <c r="L91" i="38"/>
  <c r="L93" i="38"/>
  <c r="L94" i="38"/>
  <c r="L92" i="38"/>
  <c r="L95" i="38"/>
  <c r="L96" i="38"/>
  <c r="L97" i="38"/>
  <c r="L98" i="38"/>
  <c r="L99" i="38"/>
  <c r="L100" i="38"/>
  <c r="L101" i="38"/>
  <c r="L102" i="38"/>
  <c r="L103" i="38"/>
  <c r="AD22" i="38" l="1"/>
  <c r="G52" i="2"/>
  <c r="V24" i="51"/>
  <c r="AN18" i="51"/>
  <c r="AN19" i="51"/>
  <c r="AN20" i="51"/>
  <c r="AN21" i="51"/>
  <c r="AN22" i="51"/>
  <c r="AN23" i="51"/>
  <c r="AN17" i="51"/>
  <c r="B2" i="51" l="1"/>
  <c r="AB18" i="51"/>
  <c r="AB20" i="51"/>
  <c r="AB21" i="51"/>
  <c r="AB22" i="51"/>
  <c r="AB23" i="51"/>
  <c r="AB17" i="51"/>
  <c r="T23" i="51" l="1"/>
  <c r="Y23" i="51" s="1"/>
  <c r="N23" i="51"/>
  <c r="T22" i="51"/>
  <c r="Y22" i="51" s="1"/>
  <c r="N22" i="51"/>
  <c r="T21" i="51"/>
  <c r="Y21" i="51" s="1"/>
  <c r="N21" i="51"/>
  <c r="T20" i="51"/>
  <c r="Y20" i="51" s="1"/>
  <c r="N20" i="51"/>
  <c r="T19" i="51"/>
  <c r="Y19" i="51" s="1"/>
  <c r="N19" i="51"/>
  <c r="T18" i="51"/>
  <c r="Y18" i="51" s="1"/>
  <c r="N18" i="51"/>
  <c r="T17" i="51"/>
  <c r="Y17" i="51" s="1"/>
  <c r="N17" i="51"/>
  <c r="AP14" i="51"/>
  <c r="AM14" i="51"/>
  <c r="M39" i="50"/>
  <c r="N39" i="50" s="1"/>
  <c r="M38" i="50"/>
  <c r="N38" i="50" s="1"/>
  <c r="M37" i="50"/>
  <c r="N37" i="50" s="1"/>
  <c r="M36" i="50"/>
  <c r="N36" i="50" s="1"/>
  <c r="M35" i="50"/>
  <c r="N35" i="50" s="1"/>
  <c r="M34" i="50"/>
  <c r="N34" i="50" s="1"/>
  <c r="M33" i="50"/>
  <c r="N33" i="50" s="1"/>
  <c r="M32" i="50"/>
  <c r="N32" i="50" s="1"/>
  <c r="M31" i="50"/>
  <c r="N31" i="50" s="1"/>
  <c r="M30" i="50"/>
  <c r="N30" i="50" s="1"/>
  <c r="M29" i="50"/>
  <c r="N29" i="50" s="1"/>
  <c r="M28" i="50"/>
  <c r="N28" i="50" s="1"/>
  <c r="M27" i="50"/>
  <c r="N27" i="50" s="1"/>
  <c r="M26" i="50"/>
  <c r="N26" i="50" s="1"/>
  <c r="M25" i="50"/>
  <c r="N25" i="50" s="1"/>
  <c r="M24" i="50"/>
  <c r="N24" i="50" s="1"/>
  <c r="M23" i="50"/>
  <c r="N23" i="50" s="1"/>
  <c r="M22" i="50"/>
  <c r="N22" i="50" s="1"/>
  <c r="M21" i="50"/>
  <c r="N21" i="50" s="1"/>
  <c r="M20" i="50"/>
  <c r="N20" i="50" s="1"/>
  <c r="M19" i="50"/>
  <c r="N19" i="50" s="1"/>
  <c r="M18" i="50"/>
  <c r="N18" i="50" s="1"/>
  <c r="M17" i="50"/>
  <c r="N17" i="50" s="1"/>
  <c r="M16" i="50"/>
  <c r="N16" i="50" s="1"/>
  <c r="M15" i="50"/>
  <c r="N15" i="50" s="1"/>
  <c r="M14" i="50"/>
  <c r="N14" i="50" s="1"/>
  <c r="AE18" i="51" l="1" a="1"/>
  <c r="AE18" i="51" s="1"/>
  <c r="AE23" i="51" l="1" a="1"/>
  <c r="AE23" i="51" s="1"/>
  <c r="AE22" i="51" a="1"/>
  <c r="AE22" i="51" s="1"/>
  <c r="AE20" i="51" a="1"/>
  <c r="AE20" i="51" s="1"/>
  <c r="AE19" i="51" a="1"/>
  <c r="AE19" i="51" s="1"/>
  <c r="AE21" i="51" a="1"/>
  <c r="AE21" i="51" s="1"/>
  <c r="W24" i="51"/>
  <c r="AE17" i="51" l="1" a="1"/>
  <c r="AE17" i="51" s="1"/>
  <c r="AF22" i="51"/>
  <c r="AG22" i="51" s="1"/>
  <c r="AF20" i="51"/>
  <c r="AG20" i="51" s="1"/>
  <c r="AF19" i="51"/>
  <c r="AG19" i="51" s="1"/>
  <c r="AF18" i="51"/>
  <c r="AG18" i="51" s="1"/>
  <c r="AF21" i="51"/>
  <c r="AG21" i="51" s="1"/>
  <c r="AF23" i="51"/>
  <c r="AG23" i="51" s="1"/>
  <c r="Y24" i="51"/>
  <c r="AF17" i="51" l="1"/>
  <c r="AG17" i="51" l="1"/>
  <c r="Q14" i="49" l="1"/>
  <c r="Q15" i="49"/>
  <c r="Q16" i="49"/>
  <c r="Q17" i="49"/>
  <c r="Q18" i="49"/>
  <c r="Q19" i="49"/>
  <c r="Q20" i="49"/>
  <c r="Q21" i="49"/>
  <c r="Q22" i="49"/>
  <c r="Q23" i="49"/>
  <c r="Q24" i="49"/>
  <c r="Q25" i="49"/>
  <c r="Q26" i="49"/>
  <c r="Q27" i="49"/>
  <c r="Q28" i="49"/>
  <c r="Q29" i="49"/>
  <c r="Q30" i="49"/>
  <c r="Q31" i="49"/>
  <c r="Q32" i="49"/>
  <c r="Q33" i="49"/>
  <c r="Q34" i="49"/>
  <c r="Q35" i="49"/>
  <c r="Q36" i="49"/>
  <c r="Q37" i="49"/>
  <c r="Q38" i="49"/>
  <c r="Q39" i="49"/>
  <c r="Q40" i="49"/>
  <c r="Q41" i="49"/>
  <c r="Q42" i="49"/>
  <c r="Q43" i="49"/>
  <c r="Q44" i="49"/>
  <c r="Q45" i="49"/>
  <c r="Q46" i="49"/>
  <c r="Q47" i="49"/>
  <c r="Q48" i="49"/>
  <c r="Q49" i="49"/>
  <c r="Q50" i="49"/>
  <c r="Q51" i="49"/>
  <c r="Q52" i="49"/>
  <c r="Q53" i="49"/>
  <c r="Q54" i="49"/>
  <c r="Q55" i="49"/>
  <c r="Q56" i="49"/>
  <c r="Q57" i="49"/>
  <c r="Q58" i="49"/>
  <c r="Q59" i="49"/>
  <c r="Q60" i="49"/>
  <c r="Q61" i="49"/>
  <c r="Q62" i="49"/>
  <c r="Q63" i="49"/>
  <c r="Q64" i="49"/>
  <c r="Q65" i="49"/>
  <c r="Q66" i="49"/>
  <c r="Q67" i="49"/>
  <c r="Q68" i="49"/>
  <c r="Q69" i="49"/>
  <c r="Q70" i="49"/>
  <c r="Q71" i="49"/>
  <c r="Q72" i="49"/>
  <c r="Q73" i="49"/>
  <c r="Q74" i="49"/>
  <c r="Q75" i="49"/>
  <c r="Q76" i="49"/>
  <c r="Q77" i="49"/>
  <c r="Q78" i="49"/>
  <c r="Q79" i="49"/>
  <c r="Q80" i="49"/>
  <c r="Q81" i="49"/>
  <c r="Q82" i="49"/>
  <c r="Q83" i="49"/>
  <c r="Q84" i="49"/>
  <c r="Q85" i="49"/>
  <c r="Q86" i="49"/>
  <c r="Q87" i="49"/>
  <c r="Q88" i="49"/>
  <c r="Q89" i="49"/>
  <c r="Q90" i="49"/>
  <c r="Q91" i="49"/>
  <c r="Q92" i="49"/>
  <c r="Q93" i="49"/>
  <c r="Q94" i="49"/>
  <c r="Q95" i="49"/>
  <c r="Q96" i="49"/>
  <c r="Q97" i="49"/>
  <c r="Q98" i="49"/>
  <c r="Q99" i="49"/>
  <c r="Q100" i="49"/>
  <c r="Q101" i="49"/>
  <c r="Q102" i="49"/>
  <c r="Q103" i="49"/>
  <c r="Q104" i="49"/>
  <c r="Q105" i="49"/>
  <c r="Q106" i="49"/>
  <c r="Q107" i="49"/>
  <c r="Q108" i="49"/>
  <c r="Q109" i="49"/>
  <c r="Q110" i="49"/>
  <c r="Q111" i="49"/>
  <c r="Q112" i="49"/>
  <c r="Q113" i="49"/>
  <c r="Q114" i="49"/>
  <c r="Q115" i="49"/>
  <c r="Q116" i="49"/>
  <c r="Q117" i="49"/>
  <c r="Q118" i="49"/>
  <c r="Q119" i="49"/>
  <c r="Q120" i="49"/>
  <c r="Q121" i="49"/>
  <c r="Q122" i="49"/>
  <c r="Q123" i="49"/>
  <c r="Q124" i="49"/>
  <c r="Q125" i="49"/>
  <c r="Q126" i="49"/>
  <c r="Q127" i="49"/>
  <c r="Q128" i="49"/>
  <c r="Q129" i="49"/>
  <c r="Q130" i="49"/>
  <c r="Q131" i="49"/>
  <c r="Q132" i="49"/>
  <c r="Q133" i="49"/>
  <c r="Q134" i="49"/>
  <c r="Q135" i="49"/>
  <c r="Q136" i="49"/>
  <c r="Q137" i="49"/>
  <c r="Q138" i="49"/>
  <c r="Q139" i="49"/>
  <c r="Q140" i="49"/>
  <c r="Q141" i="49"/>
  <c r="Q142" i="49"/>
  <c r="Q143" i="49"/>
  <c r="Q144" i="49"/>
  <c r="Q145" i="49"/>
  <c r="Q146" i="49"/>
  <c r="Q147" i="49"/>
  <c r="Q148" i="49"/>
  <c r="Q149" i="49"/>
  <c r="Q150" i="49"/>
  <c r="Q151" i="49"/>
  <c r="Q152" i="49"/>
  <c r="Q153" i="49"/>
  <c r="Q154" i="49"/>
  <c r="Q155" i="49"/>
  <c r="Q156" i="49"/>
  <c r="Q157" i="49"/>
  <c r="Q158" i="49"/>
  <c r="Q159" i="49"/>
  <c r="Q160" i="49"/>
  <c r="Q161" i="49"/>
  <c r="Q162" i="49"/>
  <c r="Q163" i="49"/>
  <c r="Q164" i="49"/>
  <c r="Q165" i="49"/>
  <c r="Q166" i="49"/>
  <c r="Q167" i="49"/>
  <c r="Q168" i="49"/>
  <c r="Q169" i="49"/>
  <c r="Q170" i="49"/>
  <c r="Q171" i="49"/>
  <c r="Q172" i="49"/>
  <c r="Q173" i="49"/>
  <c r="Q174" i="49"/>
  <c r="Q175" i="49"/>
  <c r="Q176" i="49"/>
  <c r="Q177" i="49"/>
  <c r="Q178" i="49"/>
  <c r="Q179" i="49"/>
  <c r="Q180" i="49"/>
  <c r="Q181" i="49"/>
  <c r="Q182" i="49"/>
  <c r="Q183" i="49"/>
  <c r="Q184" i="49"/>
  <c r="Q185" i="49"/>
  <c r="Q186" i="49"/>
  <c r="Q187" i="49"/>
  <c r="Q188" i="49"/>
  <c r="Q189" i="49"/>
  <c r="Q190" i="49"/>
  <c r="Q191" i="49"/>
  <c r="Q192" i="49"/>
  <c r="Q193" i="49"/>
  <c r="Q194" i="49"/>
  <c r="Q195" i="49"/>
  <c r="Q196" i="49"/>
  <c r="Q197" i="49"/>
  <c r="Q198" i="49"/>
  <c r="Q199" i="49"/>
  <c r="Q200" i="49"/>
  <c r="Q201" i="49"/>
  <c r="Q202" i="49"/>
  <c r="Q203" i="49"/>
  <c r="Q204" i="49"/>
  <c r="Q205" i="49"/>
  <c r="Q206" i="49"/>
  <c r="Q207" i="49"/>
  <c r="Q208" i="49"/>
  <c r="Q209" i="49"/>
  <c r="Q210" i="49"/>
  <c r="Q211" i="49"/>
  <c r="Q212" i="49"/>
  <c r="Q213" i="49"/>
  <c r="Q214" i="49"/>
  <c r="Q215" i="49"/>
  <c r="Q216" i="49"/>
  <c r="Q217" i="49"/>
  <c r="Q218" i="49"/>
  <c r="Q219" i="49"/>
  <c r="Q220" i="49"/>
  <c r="Q221" i="49"/>
  <c r="Q222" i="49"/>
  <c r="Q223" i="49"/>
  <c r="Q224" i="49"/>
  <c r="Q225" i="49"/>
  <c r="Q226" i="49"/>
  <c r="Q227" i="49"/>
  <c r="Q228" i="49"/>
  <c r="Q229" i="49"/>
  <c r="Q230" i="49"/>
  <c r="Q231" i="49"/>
  <c r="Q232" i="49"/>
  <c r="Q233" i="49"/>
  <c r="Q234" i="49"/>
  <c r="Q235" i="49"/>
  <c r="Q236" i="49"/>
  <c r="Q237" i="49"/>
  <c r="Q238" i="49"/>
  <c r="Q239" i="49"/>
  <c r="Q240" i="49"/>
  <c r="Q241" i="49"/>
  <c r="Q242" i="49"/>
  <c r="Q243" i="49"/>
  <c r="Q244" i="49"/>
  <c r="Q245" i="49"/>
  <c r="Q246" i="49"/>
  <c r="Q247" i="49"/>
  <c r="Q248" i="49"/>
  <c r="Q249" i="49"/>
  <c r="Q250" i="49"/>
  <c r="Q251" i="49"/>
  <c r="Q252" i="49"/>
  <c r="Q253" i="49"/>
  <c r="Q254" i="49"/>
  <c r="Q255" i="49"/>
  <c r="Q256" i="49"/>
  <c r="Q257" i="49"/>
  <c r="Q258" i="49"/>
  <c r="Q259" i="49"/>
  <c r="Q260" i="49"/>
  <c r="Q261" i="49"/>
  <c r="Q262" i="49"/>
  <c r="Q263" i="49"/>
  <c r="Q264" i="49"/>
  <c r="Q265" i="49"/>
  <c r="Q266" i="49"/>
  <c r="Q267" i="49"/>
  <c r="Q268" i="49"/>
  <c r="Q269" i="49"/>
  <c r="Q270" i="49"/>
  <c r="Q271" i="49"/>
  <c r="Q272" i="49"/>
  <c r="Q273" i="49"/>
  <c r="Q274" i="49"/>
  <c r="Q275" i="49"/>
  <c r="Q276" i="49"/>
  <c r="Q277" i="49"/>
  <c r="Q278" i="49"/>
  <c r="Q279" i="49"/>
  <c r="Q280" i="49"/>
  <c r="Q281" i="49"/>
  <c r="Q282" i="49"/>
  <c r="Q283" i="49"/>
  <c r="Q284" i="49"/>
  <c r="Q285" i="49"/>
  <c r="Q286" i="49"/>
  <c r="Q287" i="49"/>
  <c r="Q288" i="49"/>
  <c r="Q289" i="49"/>
  <c r="Q290" i="49"/>
  <c r="Q291" i="49"/>
  <c r="Q292" i="49"/>
  <c r="Q293" i="49"/>
  <c r="Q294" i="49"/>
  <c r="Q295" i="49"/>
  <c r="Q296" i="49"/>
  <c r="Q297" i="49"/>
  <c r="Q298" i="49"/>
  <c r="Q299" i="49"/>
  <c r="Q300" i="49"/>
  <c r="Q301" i="49"/>
  <c r="Q302" i="49"/>
  <c r="Q303" i="49"/>
  <c r="Q304" i="49"/>
  <c r="Q305" i="49"/>
  <c r="Q306" i="49"/>
  <c r="Q307" i="49"/>
  <c r="Q308" i="49"/>
  <c r="Q309" i="49"/>
  <c r="Q310" i="49"/>
  <c r="Q311" i="49"/>
  <c r="Q312" i="49"/>
  <c r="Q313" i="49"/>
  <c r="Q314" i="49"/>
  <c r="Q315" i="49"/>
  <c r="Q316" i="49"/>
  <c r="Q317" i="49"/>
  <c r="Q318" i="49"/>
  <c r="Q319" i="49"/>
  <c r="Q320" i="49"/>
  <c r="Q321" i="49"/>
  <c r="Q322" i="49"/>
  <c r="Q323" i="49"/>
  <c r="Q324" i="49"/>
  <c r="Q325" i="49"/>
  <c r="Q326" i="49"/>
  <c r="Q327" i="49"/>
  <c r="Q328" i="49"/>
  <c r="Q329" i="49"/>
  <c r="Q330" i="49"/>
  <c r="Q331" i="49"/>
  <c r="Q332" i="49"/>
  <c r="Q333" i="49"/>
  <c r="Q334" i="49"/>
  <c r="Q335" i="49"/>
  <c r="Q336" i="49"/>
  <c r="Q337" i="49"/>
  <c r="Q338" i="49"/>
  <c r="Q339" i="49"/>
  <c r="Q340" i="49"/>
  <c r="Q341" i="49"/>
  <c r="Q342" i="49"/>
  <c r="Q343" i="49"/>
  <c r="Q344" i="49"/>
  <c r="Q345" i="49"/>
  <c r="Q346" i="49"/>
  <c r="Q347" i="49"/>
  <c r="Q348" i="49"/>
  <c r="Q349" i="49"/>
  <c r="Q350" i="49"/>
  <c r="Q351" i="49"/>
  <c r="Q352" i="49"/>
  <c r="Q353" i="49"/>
  <c r="Q354" i="49"/>
  <c r="Q355" i="49"/>
  <c r="Q356" i="49"/>
  <c r="Q357" i="49"/>
  <c r="Q358" i="49"/>
  <c r="Q359" i="49"/>
  <c r="Q360" i="49"/>
  <c r="Q361" i="49"/>
  <c r="Q362" i="49"/>
  <c r="Q363" i="49"/>
  <c r="Q364" i="49"/>
  <c r="Q365" i="49"/>
  <c r="Q366" i="49"/>
  <c r="Q367" i="49"/>
  <c r="Q368" i="49"/>
  <c r="Q369" i="49"/>
  <c r="Q370" i="49"/>
  <c r="Q371" i="49"/>
  <c r="Q372" i="49"/>
  <c r="Q373" i="49"/>
  <c r="Q374" i="49"/>
  <c r="Q375" i="49"/>
  <c r="Q376" i="49"/>
  <c r="Q377" i="49"/>
  <c r="Q378" i="49"/>
  <c r="Q379" i="49"/>
  <c r="Q380" i="49"/>
  <c r="Q381" i="49"/>
  <c r="Q382" i="49"/>
  <c r="Q383" i="49"/>
  <c r="Q384" i="49"/>
  <c r="Q385" i="49"/>
  <c r="Q386" i="49"/>
  <c r="Q387" i="49"/>
  <c r="Q388" i="49"/>
  <c r="Q389" i="49"/>
  <c r="Q390" i="49"/>
  <c r="Q391" i="49"/>
  <c r="Q392" i="49"/>
  <c r="Q393" i="49"/>
  <c r="Q394" i="49"/>
  <c r="Q395" i="49"/>
  <c r="Q396" i="49"/>
  <c r="Q397" i="49"/>
  <c r="Q398" i="49"/>
  <c r="Q399" i="49"/>
  <c r="Q400" i="49"/>
  <c r="Q401" i="49"/>
  <c r="Q402" i="49"/>
  <c r="Q403" i="49"/>
  <c r="Q404" i="49"/>
  <c r="Q405" i="49"/>
  <c r="Q406" i="49"/>
  <c r="Q407" i="49"/>
  <c r="Q408" i="49"/>
  <c r="Q409" i="49"/>
  <c r="Q410" i="49"/>
  <c r="Q411" i="49"/>
  <c r="Q412" i="49"/>
  <c r="Q413" i="49"/>
  <c r="Q414" i="49"/>
  <c r="Q415" i="49"/>
  <c r="Q416" i="49"/>
  <c r="Q417" i="49"/>
  <c r="Q418" i="49"/>
  <c r="Q419" i="49"/>
  <c r="Q420" i="49"/>
  <c r="Q421" i="49"/>
  <c r="Q422" i="49"/>
  <c r="Q423" i="49"/>
  <c r="Q424" i="49"/>
  <c r="Q425" i="49"/>
  <c r="Q426" i="49"/>
  <c r="Q427" i="49"/>
  <c r="Q428" i="49"/>
  <c r="Q429" i="49"/>
  <c r="Q430" i="49"/>
  <c r="Q431" i="49"/>
  <c r="Q432" i="49"/>
  <c r="Q433" i="49"/>
  <c r="Q434" i="49"/>
  <c r="Q435" i="49"/>
  <c r="Q436" i="49"/>
  <c r="Q437" i="49"/>
  <c r="Q438" i="49"/>
  <c r="Q439" i="49"/>
  <c r="Q440" i="49"/>
  <c r="Q441" i="49"/>
  <c r="Q442" i="49"/>
  <c r="Q443" i="49"/>
  <c r="Q444" i="49"/>
  <c r="Q445" i="49"/>
  <c r="Q446" i="49"/>
  <c r="Q447" i="49"/>
  <c r="Q448" i="49"/>
  <c r="Q449" i="49"/>
  <c r="Q450" i="49"/>
  <c r="Q451" i="49"/>
  <c r="Q452" i="49"/>
  <c r="Q453" i="49"/>
  <c r="Q454" i="49"/>
  <c r="Q455" i="49"/>
  <c r="Q456" i="49"/>
  <c r="Q457" i="49"/>
  <c r="Q458" i="49"/>
  <c r="Q459" i="49"/>
  <c r="Q460" i="49"/>
  <c r="Q461" i="49"/>
  <c r="Q462" i="49"/>
  <c r="Q463" i="49"/>
  <c r="Q464" i="49"/>
  <c r="Q465" i="49"/>
  <c r="Q466" i="49"/>
  <c r="Q467" i="49"/>
  <c r="Q468" i="49"/>
  <c r="Q469" i="49"/>
  <c r="Q470" i="49"/>
  <c r="Q471" i="49"/>
  <c r="Q472" i="49"/>
  <c r="Q473" i="49"/>
  <c r="Q474" i="49"/>
  <c r="Q475" i="49"/>
  <c r="Q476" i="49"/>
  <c r="Q477" i="49"/>
  <c r="Q478" i="49"/>
  <c r="Q479" i="49"/>
  <c r="Q480" i="49"/>
  <c r="Q481" i="49"/>
  <c r="Q482" i="49"/>
  <c r="Q483" i="49"/>
  <c r="Q484" i="49"/>
  <c r="Q485" i="49"/>
  <c r="Q486" i="49"/>
  <c r="Q487" i="49"/>
  <c r="Q488" i="49"/>
  <c r="Q489" i="49"/>
  <c r="Q490" i="49"/>
  <c r="Q491" i="49"/>
  <c r="Q492" i="49"/>
  <c r="Q493" i="49"/>
  <c r="Q494" i="49"/>
  <c r="Q495" i="49"/>
  <c r="Q496" i="49"/>
  <c r="Q497" i="49"/>
  <c r="Q498" i="49"/>
  <c r="Q499" i="49"/>
  <c r="Q500" i="49"/>
  <c r="Q501" i="49"/>
  <c r="Q502" i="49"/>
  <c r="Q503" i="49"/>
  <c r="Q504" i="49"/>
  <c r="Q505" i="49"/>
  <c r="Q506" i="49"/>
  <c r="Q507" i="49"/>
  <c r="Q508" i="49"/>
  <c r="Q509" i="49"/>
  <c r="Q510" i="49"/>
  <c r="Q511" i="49"/>
  <c r="Q512" i="49"/>
  <c r="Q513" i="49"/>
  <c r="Q514" i="49"/>
  <c r="Q515" i="49"/>
  <c r="Q516" i="49"/>
  <c r="Q517" i="49"/>
  <c r="Q518" i="49"/>
  <c r="Q519" i="49"/>
  <c r="Q520" i="49"/>
  <c r="Q521" i="49"/>
  <c r="Q522" i="49"/>
  <c r="Q523" i="49"/>
  <c r="Q524" i="49"/>
  <c r="Q525" i="49"/>
  <c r="Q526" i="49"/>
  <c r="Q527" i="49"/>
  <c r="Q528" i="49"/>
  <c r="Q529" i="49"/>
  <c r="Q530" i="49"/>
  <c r="Q531" i="49"/>
  <c r="Q532" i="49"/>
  <c r="Q533" i="49"/>
  <c r="Q534" i="49"/>
  <c r="Q535" i="49"/>
  <c r="Q536" i="49"/>
  <c r="Q537" i="49"/>
  <c r="Q538" i="49"/>
  <c r="Q539" i="49"/>
  <c r="Q540" i="49"/>
  <c r="Q541" i="49"/>
  <c r="Q542" i="49"/>
  <c r="Q543" i="49"/>
  <c r="Q544" i="49"/>
  <c r="Q545" i="49"/>
  <c r="Q546" i="49"/>
  <c r="Q547" i="49"/>
  <c r="Q548" i="49"/>
  <c r="Q549" i="49"/>
  <c r="Q550" i="49"/>
  <c r="Q551" i="49"/>
  <c r="Q552" i="49"/>
  <c r="Q553" i="49"/>
  <c r="Q554" i="49"/>
  <c r="Q555" i="49"/>
  <c r="Q556" i="49"/>
  <c r="Q557" i="49"/>
  <c r="Q558" i="49"/>
  <c r="Q559" i="49"/>
  <c r="Q560" i="49"/>
  <c r="Q561" i="49"/>
  <c r="Q562" i="49"/>
  <c r="Q563" i="49"/>
  <c r="Q564" i="49"/>
  <c r="Q565" i="49"/>
  <c r="Q566" i="49"/>
  <c r="Q567" i="49"/>
  <c r="Q568" i="49"/>
  <c r="Q569" i="49"/>
  <c r="Q570" i="49"/>
  <c r="Q571" i="49"/>
  <c r="Q572" i="49"/>
  <c r="Q573" i="49"/>
  <c r="Q574" i="49"/>
  <c r="Q575" i="49"/>
  <c r="Q576" i="49"/>
  <c r="Q577" i="49"/>
  <c r="Q578" i="49"/>
  <c r="Q579" i="49"/>
  <c r="Q580" i="49"/>
  <c r="Q581" i="49"/>
  <c r="Q582" i="49"/>
  <c r="Q583" i="49"/>
  <c r="Q584" i="49"/>
  <c r="Q585" i="49"/>
  <c r="Q586" i="49"/>
  <c r="Q587" i="49"/>
  <c r="Q588" i="49"/>
  <c r="Q589" i="49"/>
  <c r="Q590" i="49"/>
  <c r="Q591" i="49"/>
  <c r="Q592" i="49"/>
  <c r="Q593" i="49"/>
  <c r="Q594" i="49"/>
  <c r="Q595" i="49"/>
  <c r="Q596" i="49"/>
  <c r="Q597" i="49"/>
  <c r="Q598" i="49"/>
  <c r="Q599" i="49"/>
  <c r="Q600" i="49"/>
  <c r="Q601" i="49"/>
  <c r="Q602" i="49"/>
  <c r="Q603" i="49"/>
  <c r="Q604" i="49"/>
  <c r="Q605" i="49"/>
  <c r="Q606" i="49"/>
  <c r="Q607" i="49"/>
  <c r="Q608" i="49"/>
  <c r="Q609" i="49"/>
  <c r="Q610" i="49"/>
  <c r="Q611" i="49"/>
  <c r="Q612" i="49"/>
  <c r="Q613" i="49"/>
  <c r="Q614" i="49"/>
  <c r="Q615" i="49"/>
  <c r="Q616" i="49"/>
  <c r="Q617" i="49"/>
  <c r="Q618" i="49"/>
  <c r="Q619" i="49"/>
  <c r="Q620" i="49"/>
  <c r="Q621" i="49"/>
  <c r="Q622" i="49"/>
  <c r="Q623" i="49"/>
  <c r="Q624" i="49"/>
  <c r="Q625" i="49"/>
  <c r="Q626" i="49"/>
  <c r="Q627" i="49"/>
  <c r="Q628" i="49"/>
  <c r="Q629" i="49"/>
  <c r="Q630" i="49"/>
  <c r="Q631" i="49"/>
  <c r="Q632" i="49"/>
  <c r="Q633" i="49"/>
  <c r="Q634" i="49"/>
  <c r="Q635" i="49"/>
  <c r="Q636" i="49"/>
  <c r="Q637" i="49"/>
  <c r="Q638" i="49"/>
  <c r="Q639" i="49"/>
  <c r="Q640" i="49"/>
  <c r="Q641" i="49"/>
  <c r="Q642" i="49"/>
  <c r="Q643" i="49"/>
  <c r="Q644" i="49"/>
  <c r="Q645" i="49"/>
  <c r="Q646" i="49"/>
  <c r="Q647" i="49"/>
  <c r="Q648" i="49"/>
  <c r="Q649" i="49"/>
  <c r="Q650" i="49"/>
  <c r="Q651" i="49"/>
  <c r="Q652" i="49"/>
  <c r="Q653" i="49"/>
  <c r="Q654" i="49"/>
  <c r="Q655" i="49"/>
  <c r="Q656" i="49"/>
  <c r="Q657" i="49"/>
  <c r="Q658" i="49"/>
  <c r="Q659" i="49"/>
  <c r="Q660" i="49"/>
  <c r="Q661" i="49"/>
  <c r="Q662" i="49"/>
  <c r="Q663" i="49"/>
  <c r="Q664" i="49"/>
  <c r="Q665" i="49"/>
  <c r="Q666" i="49"/>
  <c r="Q667" i="49"/>
  <c r="Q668" i="49"/>
  <c r="Q669" i="49"/>
  <c r="Q670" i="49"/>
  <c r="Q671" i="49"/>
  <c r="Q672" i="49"/>
  <c r="Q673" i="49"/>
  <c r="Q674" i="49"/>
  <c r="Q675" i="49"/>
  <c r="Q676" i="49"/>
  <c r="Q677" i="49"/>
  <c r="Q678" i="49"/>
  <c r="Q679" i="49"/>
  <c r="Q680" i="49"/>
  <c r="Q681" i="49"/>
  <c r="Q682" i="49"/>
  <c r="Q683" i="49"/>
  <c r="Q684" i="49"/>
  <c r="Q685" i="49"/>
  <c r="Q686" i="49"/>
  <c r="Q687" i="49"/>
  <c r="Q688" i="49"/>
  <c r="Q689" i="49"/>
  <c r="Q690" i="49"/>
  <c r="Q691" i="49"/>
  <c r="Q692" i="49"/>
  <c r="Q693" i="49"/>
  <c r="Q694" i="49"/>
  <c r="Q695" i="49"/>
  <c r="Q696" i="49"/>
  <c r="Q697" i="49"/>
  <c r="Q698" i="49"/>
  <c r="Q699" i="49"/>
  <c r="Q700" i="49"/>
  <c r="Q701" i="49"/>
  <c r="Q702" i="49"/>
  <c r="Q703" i="49"/>
  <c r="Q704" i="49"/>
  <c r="Q705" i="49"/>
  <c r="Q706" i="49"/>
  <c r="Q707" i="49"/>
  <c r="Q708" i="49"/>
  <c r="Q709" i="49"/>
  <c r="Q710" i="49"/>
  <c r="Q711" i="49"/>
  <c r="Q712" i="49"/>
  <c r="Q713" i="49"/>
  <c r="Q714" i="49"/>
  <c r="Q715" i="49"/>
  <c r="Q716" i="49"/>
  <c r="Q717" i="49"/>
  <c r="Q718" i="49"/>
  <c r="Q719" i="49"/>
  <c r="Q720" i="49"/>
  <c r="Q721" i="49"/>
  <c r="Q722" i="49"/>
  <c r="Q723" i="49"/>
  <c r="Q724" i="49"/>
  <c r="Q725" i="49"/>
  <c r="Q726" i="49"/>
  <c r="Q727" i="49"/>
  <c r="Q728" i="49"/>
  <c r="Q729" i="49"/>
  <c r="Q730" i="49"/>
  <c r="Q731" i="49"/>
  <c r="Q732" i="49"/>
  <c r="Q733" i="49"/>
  <c r="Q734" i="49"/>
  <c r="Q735" i="49"/>
  <c r="Q736" i="49"/>
  <c r="Q737" i="49"/>
  <c r="Q738" i="49"/>
  <c r="Q739" i="49"/>
  <c r="Q740" i="49"/>
  <c r="Q741" i="49"/>
  <c r="Q742" i="49"/>
  <c r="Q743" i="49"/>
  <c r="Q744" i="49"/>
  <c r="Q745" i="49"/>
  <c r="Q746" i="49"/>
  <c r="Q747" i="49"/>
  <c r="Q748" i="49"/>
  <c r="Q749" i="49"/>
  <c r="Q750" i="49"/>
  <c r="Q751" i="49"/>
  <c r="Q752" i="49"/>
  <c r="Q753" i="49"/>
  <c r="Q754" i="49"/>
  <c r="Q755" i="49"/>
  <c r="Q756" i="49"/>
  <c r="Q757" i="49"/>
  <c r="Q758" i="49"/>
  <c r="Q759" i="49"/>
  <c r="Q760" i="49"/>
  <c r="Q761" i="49"/>
  <c r="Q762" i="49"/>
  <c r="Q763" i="49"/>
  <c r="Q764" i="49"/>
  <c r="Q765" i="49"/>
  <c r="Q766" i="49"/>
  <c r="Q767" i="49"/>
  <c r="Q768" i="49"/>
  <c r="Q769" i="49"/>
  <c r="Q770" i="49"/>
  <c r="Q771" i="49"/>
  <c r="Q772" i="49"/>
  <c r="Q773" i="49"/>
  <c r="Q774" i="49"/>
  <c r="Q775" i="49"/>
  <c r="Q776" i="49"/>
  <c r="Q777" i="49"/>
  <c r="Q778" i="49"/>
  <c r="Q779" i="49"/>
  <c r="Q780" i="49"/>
  <c r="Q781" i="49"/>
  <c r="Q782" i="49"/>
  <c r="Q783" i="49"/>
  <c r="Q784" i="49"/>
  <c r="Q785" i="49"/>
  <c r="Q786" i="49"/>
  <c r="Q787" i="49"/>
  <c r="Q788" i="49"/>
  <c r="Q789" i="49"/>
  <c r="Q790" i="49"/>
  <c r="Q791" i="49"/>
  <c r="Q792" i="49"/>
  <c r="Q793" i="49"/>
  <c r="Q794" i="49"/>
  <c r="Q795" i="49"/>
  <c r="Q796" i="49"/>
  <c r="Q797" i="49"/>
  <c r="Q798" i="49"/>
  <c r="Q799" i="49"/>
  <c r="Q800" i="49"/>
  <c r="Q801" i="49"/>
  <c r="Q802" i="49"/>
  <c r="Q803" i="49"/>
  <c r="Q804" i="49"/>
  <c r="Q805" i="49"/>
  <c r="Q806" i="49"/>
  <c r="Q807" i="49"/>
  <c r="Q808" i="49"/>
  <c r="Q809" i="49"/>
  <c r="Q810" i="49"/>
  <c r="Q811" i="49"/>
  <c r="Q812" i="49"/>
  <c r="Q813" i="49"/>
  <c r="Q814" i="49"/>
  <c r="Q815" i="49"/>
  <c r="Q816" i="49"/>
  <c r="Q817" i="49"/>
  <c r="Q818" i="49"/>
  <c r="Q819" i="49"/>
  <c r="Q820" i="49"/>
  <c r="Q821" i="49"/>
  <c r="Q822" i="49"/>
  <c r="Q823" i="49"/>
  <c r="Q824" i="49"/>
  <c r="Q825" i="49"/>
  <c r="Q826" i="49"/>
  <c r="Q827" i="49"/>
  <c r="Q828" i="49"/>
  <c r="Q829" i="49"/>
  <c r="Q830" i="49"/>
  <c r="Q831" i="49"/>
  <c r="Q832" i="49"/>
  <c r="Q833" i="49"/>
  <c r="Q834" i="49"/>
  <c r="Q835" i="49"/>
  <c r="Q836" i="49"/>
  <c r="Q837" i="49"/>
  <c r="Q838" i="49"/>
  <c r="Q839" i="49"/>
  <c r="Q840" i="49"/>
  <c r="Q841" i="49"/>
  <c r="Q842" i="49"/>
  <c r="Q843" i="49"/>
  <c r="Q844" i="49"/>
  <c r="Q845" i="49"/>
  <c r="Q846" i="49"/>
  <c r="Q847" i="49"/>
  <c r="Q848" i="49"/>
  <c r="Q849" i="49"/>
  <c r="Q850" i="49"/>
  <c r="Q851" i="49"/>
  <c r="Q852" i="49"/>
  <c r="Q853" i="49"/>
  <c r="Q854" i="49"/>
  <c r="Q855" i="49"/>
  <c r="Q856" i="49"/>
  <c r="Q857" i="49"/>
  <c r="Q858" i="49"/>
  <c r="Q859" i="49"/>
  <c r="Q860" i="49"/>
  <c r="Q861" i="49"/>
  <c r="Q862" i="49"/>
  <c r="Q863" i="49"/>
  <c r="Q864" i="49"/>
  <c r="Q865" i="49"/>
  <c r="Q866" i="49"/>
  <c r="Q867" i="49"/>
  <c r="Q868" i="49"/>
  <c r="Q869" i="49"/>
  <c r="Q870" i="49"/>
  <c r="Q871" i="49"/>
  <c r="Q872" i="49"/>
  <c r="Q873" i="49"/>
  <c r="Q874" i="49"/>
  <c r="Q875" i="49"/>
  <c r="Q876" i="49"/>
  <c r="Q877" i="49"/>
  <c r="Q878" i="49"/>
  <c r="Q879" i="49"/>
  <c r="Q880" i="49"/>
  <c r="Q881" i="49"/>
  <c r="Q882" i="49"/>
  <c r="Q883" i="49"/>
  <c r="Q884" i="49"/>
  <c r="Q885" i="49"/>
  <c r="Q886" i="49"/>
  <c r="Q887" i="49"/>
  <c r="Q888" i="49"/>
  <c r="Q889" i="49"/>
  <c r="Q890" i="49"/>
  <c r="Q891" i="49"/>
  <c r="Q892" i="49"/>
  <c r="Q893" i="49"/>
  <c r="Q894" i="49"/>
  <c r="Q895" i="49"/>
  <c r="Q896" i="49"/>
  <c r="Q897" i="49"/>
  <c r="Q898" i="49"/>
  <c r="Q899" i="49"/>
  <c r="Q900" i="49"/>
  <c r="Q901" i="49"/>
  <c r="Q902" i="49"/>
  <c r="Q903" i="49"/>
  <c r="Q904" i="49"/>
  <c r="Q905" i="49"/>
  <c r="Q906" i="49"/>
  <c r="Q907" i="49"/>
  <c r="Q908" i="49"/>
  <c r="Q909" i="49"/>
  <c r="Q910" i="49"/>
  <c r="Q911" i="49"/>
  <c r="Q912" i="49"/>
  <c r="Q913" i="49"/>
  <c r="Q914" i="49"/>
  <c r="Q915" i="49"/>
  <c r="Q916" i="49"/>
  <c r="Q917" i="49"/>
  <c r="Q918" i="49"/>
  <c r="Q919" i="49"/>
  <c r="Q920" i="49"/>
  <c r="Q921" i="49"/>
  <c r="Q922" i="49"/>
  <c r="Q923" i="49"/>
  <c r="Q924" i="49"/>
  <c r="Q925" i="49"/>
  <c r="Q926" i="49"/>
  <c r="Q927" i="49"/>
  <c r="Q928" i="49"/>
  <c r="Q929" i="49"/>
  <c r="Q930" i="49"/>
  <c r="Q931" i="49"/>
  <c r="Q932" i="49"/>
  <c r="Q933" i="49"/>
  <c r="Q934" i="49"/>
  <c r="Q935" i="49"/>
  <c r="Q936" i="49"/>
  <c r="Q937" i="49"/>
  <c r="Q938" i="49"/>
  <c r="Q939" i="49"/>
  <c r="Q940" i="49"/>
  <c r="Q941" i="49"/>
  <c r="Q942" i="49"/>
  <c r="Q943" i="49"/>
  <c r="Q944" i="49"/>
  <c r="Q945" i="49"/>
  <c r="Q946" i="49"/>
  <c r="Q947" i="49"/>
  <c r="Q948" i="49"/>
  <c r="Q949" i="49"/>
  <c r="Q950" i="49"/>
  <c r="Q951" i="49"/>
  <c r="Q952" i="49"/>
  <c r="Q953" i="49"/>
  <c r="Q954" i="49"/>
  <c r="Q955" i="49"/>
  <c r="Q956" i="49"/>
  <c r="Q957" i="49"/>
  <c r="Q958" i="49"/>
  <c r="Q959" i="49"/>
  <c r="Q960" i="49"/>
  <c r="Q961" i="49"/>
  <c r="Q962" i="49"/>
  <c r="Q963" i="49"/>
  <c r="Q964" i="49"/>
  <c r="Q965" i="49"/>
  <c r="Q966" i="49"/>
  <c r="Q967" i="49"/>
  <c r="Q968" i="49"/>
  <c r="Q969" i="49"/>
  <c r="Q970" i="49"/>
  <c r="Q971" i="49"/>
  <c r="Q972" i="49"/>
  <c r="Q973" i="49"/>
  <c r="Q974" i="49"/>
  <c r="Q975" i="49"/>
  <c r="Q976" i="49"/>
  <c r="Q977" i="49"/>
  <c r="Q978" i="49"/>
  <c r="Q979" i="49"/>
  <c r="Q980" i="49"/>
  <c r="Q981" i="49"/>
  <c r="Q982" i="49"/>
  <c r="Q983" i="49"/>
  <c r="Q984" i="49"/>
  <c r="Q985" i="49"/>
  <c r="Q986" i="49"/>
  <c r="Q987" i="49"/>
  <c r="Q988" i="49"/>
  <c r="Q989" i="49"/>
  <c r="Q990" i="49"/>
  <c r="Q991" i="49"/>
  <c r="Q992" i="49"/>
  <c r="Q993" i="49"/>
  <c r="Q994" i="49"/>
  <c r="Q995" i="49"/>
  <c r="Q996" i="49"/>
  <c r="Q997" i="49"/>
  <c r="Q998" i="49"/>
  <c r="Q999" i="49"/>
  <c r="Q1000" i="49"/>
  <c r="Q1001" i="49"/>
  <c r="Q1002" i="49"/>
  <c r="Q1003" i="49"/>
  <c r="Q1004" i="49"/>
  <c r="Q1005" i="49"/>
  <c r="Q1006" i="49"/>
  <c r="Q1007" i="49"/>
  <c r="Q1008" i="49"/>
  <c r="Q1009" i="49"/>
  <c r="Q1010" i="49"/>
  <c r="Q1011" i="49"/>
  <c r="Q1012" i="49"/>
  <c r="Q1013" i="49"/>
  <c r="Q1014" i="49"/>
  <c r="Q1015" i="49"/>
  <c r="Q1016" i="49"/>
  <c r="Q1017" i="49"/>
  <c r="Q1018" i="49"/>
  <c r="Q1019" i="49"/>
  <c r="Q1020" i="49"/>
  <c r="Q1021" i="49"/>
  <c r="Q1022" i="49"/>
  <c r="Q1023" i="49"/>
  <c r="Q1024" i="49"/>
  <c r="Q1025" i="49"/>
  <c r="Q1026" i="49"/>
  <c r="Q1027" i="49"/>
  <c r="Q1028" i="49"/>
  <c r="Q1029" i="49"/>
  <c r="Q1030" i="49"/>
  <c r="Q1031" i="49"/>
  <c r="Q1032" i="49"/>
  <c r="Q1033" i="49"/>
  <c r="Q1034" i="49"/>
  <c r="Q1035" i="49"/>
  <c r="Q1036" i="49"/>
  <c r="Q1037" i="49"/>
  <c r="Q1038" i="49"/>
  <c r="Q1039" i="49"/>
  <c r="Q1040" i="49"/>
  <c r="Q1041" i="49"/>
  <c r="Q1042" i="49"/>
  <c r="Q1043" i="49"/>
  <c r="Q1044" i="49"/>
  <c r="Q1045" i="49"/>
  <c r="Q1046" i="49"/>
  <c r="Q1047" i="49"/>
  <c r="Q1048" i="49"/>
  <c r="Q1049" i="49"/>
  <c r="Q1050" i="49"/>
  <c r="Q1051" i="49"/>
  <c r="Q1052" i="49"/>
  <c r="Q1053" i="49"/>
  <c r="Q1054" i="49"/>
  <c r="Q1055" i="49"/>
  <c r="Q1056" i="49"/>
  <c r="Q1057" i="49"/>
  <c r="Q1058" i="49"/>
  <c r="Q1059" i="49"/>
  <c r="Q1060" i="49"/>
  <c r="Q1061" i="49"/>
  <c r="Q1062" i="49"/>
  <c r="Q1063" i="49"/>
  <c r="Q1064" i="49"/>
  <c r="Q1065" i="49"/>
  <c r="Q1066" i="49"/>
  <c r="Q1067" i="49"/>
  <c r="Q1068" i="49"/>
  <c r="Q1069" i="49"/>
  <c r="Q1070" i="49"/>
  <c r="Q1071" i="49"/>
  <c r="Q1072" i="49"/>
  <c r="Q1073" i="49"/>
  <c r="Q1074" i="49"/>
  <c r="Q1075" i="49"/>
  <c r="Q1076" i="49"/>
  <c r="Q1077" i="49"/>
  <c r="Q1078" i="49"/>
  <c r="Q1079" i="49"/>
  <c r="Q1080" i="49"/>
  <c r="Q1081" i="49"/>
  <c r="Q1082" i="49"/>
  <c r="Q1083" i="49"/>
  <c r="Q1084" i="49"/>
  <c r="Q1085" i="49"/>
  <c r="Q1086" i="49"/>
  <c r="Q1087" i="49"/>
  <c r="Q1088" i="49"/>
  <c r="Q1089" i="49"/>
  <c r="Q1090" i="49"/>
  <c r="Q1091" i="49"/>
  <c r="Q1092" i="49"/>
  <c r="Q1093" i="49"/>
  <c r="Q1094" i="49"/>
  <c r="Q1095" i="49"/>
  <c r="Q1096" i="49"/>
  <c r="Q1097" i="49"/>
  <c r="Q1098" i="49"/>
  <c r="Q1099" i="49"/>
  <c r="Q1100" i="49"/>
  <c r="Q1101" i="49"/>
  <c r="Q1102" i="49"/>
  <c r="Q1103" i="49"/>
  <c r="Q1104" i="49"/>
  <c r="Q1105" i="49"/>
  <c r="Q1106" i="49"/>
  <c r="Q1107" i="49"/>
  <c r="Q1108" i="49"/>
  <c r="Q1109" i="49"/>
  <c r="Q1110" i="49"/>
  <c r="Q1111" i="49"/>
  <c r="Q1112" i="49"/>
  <c r="Q1113" i="49"/>
  <c r="Q1114" i="49"/>
  <c r="Q1115" i="49"/>
  <c r="Q1116" i="49"/>
  <c r="Q1117" i="49"/>
  <c r="Q1118" i="49"/>
  <c r="Q1119" i="49"/>
  <c r="Q1120" i="49"/>
  <c r="Q1121" i="49"/>
  <c r="Q1122" i="49"/>
  <c r="Q1123" i="49"/>
  <c r="Q1124" i="49"/>
  <c r="Q1125" i="49"/>
  <c r="Q1126" i="49"/>
  <c r="Q1127" i="49"/>
  <c r="Q1128" i="49"/>
  <c r="Q1129" i="49"/>
  <c r="Q1130" i="49"/>
  <c r="Q1131" i="49"/>
  <c r="Q1132" i="49"/>
  <c r="Q1133" i="49"/>
  <c r="Q1134" i="49"/>
  <c r="Q1135" i="49"/>
  <c r="Q1136" i="49"/>
  <c r="Q1137" i="49"/>
  <c r="Q1138" i="49"/>
  <c r="Q1139" i="49"/>
  <c r="Q1140" i="49"/>
  <c r="Q1141" i="49"/>
  <c r="Q1142" i="49"/>
  <c r="Q1143" i="49"/>
  <c r="Q1144" i="49"/>
  <c r="Q1145" i="49"/>
  <c r="Q1146" i="49"/>
  <c r="Q1147" i="49"/>
  <c r="Q1148" i="49"/>
  <c r="Q1149" i="49"/>
  <c r="Q1150" i="49"/>
  <c r="Q1151" i="49"/>
  <c r="Q1152" i="49"/>
  <c r="Q1153" i="49"/>
  <c r="Q1154" i="49"/>
  <c r="Q1155" i="49"/>
  <c r="Q1156" i="49"/>
  <c r="Q1157" i="49"/>
  <c r="Q1158" i="49"/>
  <c r="Q1159" i="49"/>
  <c r="Q1160" i="49"/>
  <c r="Q1161" i="49"/>
  <c r="Q1162" i="49"/>
  <c r="Q1163" i="49"/>
  <c r="Q1164" i="49"/>
  <c r="Q1165" i="49"/>
  <c r="Q1166" i="49"/>
  <c r="Q1167" i="49"/>
  <c r="Q1168" i="49"/>
  <c r="Q1169" i="49"/>
  <c r="Q1170" i="49"/>
  <c r="Q1171" i="49"/>
  <c r="Q1172" i="49"/>
  <c r="Q1173" i="49"/>
  <c r="Q1174" i="49"/>
  <c r="Q1175" i="49"/>
  <c r="Q1176" i="49"/>
  <c r="Q1177" i="49"/>
  <c r="Q1178" i="49"/>
  <c r="Q1179" i="49"/>
  <c r="Q1180" i="49"/>
  <c r="Q1181" i="49"/>
  <c r="Q1182" i="49"/>
  <c r="Q1183" i="49"/>
  <c r="Q1184" i="49"/>
  <c r="Q1185" i="49"/>
  <c r="Q1186" i="49"/>
  <c r="Q1187" i="49"/>
  <c r="Q1188" i="49"/>
  <c r="Q1189" i="49"/>
  <c r="Q1190" i="49"/>
  <c r="Q1191" i="49"/>
  <c r="Q1192" i="49"/>
  <c r="Q1193" i="49"/>
  <c r="Q1194" i="49"/>
  <c r="Q1195" i="49"/>
  <c r="Q1196" i="49"/>
  <c r="Q1197" i="49"/>
  <c r="Q1198" i="49"/>
  <c r="Q1199" i="49"/>
  <c r="Q1200" i="49"/>
  <c r="Q1201" i="49"/>
  <c r="Q1202" i="49"/>
  <c r="Q1203" i="49"/>
  <c r="Q1204" i="49"/>
  <c r="Q1205" i="49"/>
  <c r="Q1206" i="49"/>
  <c r="Q1207" i="49"/>
  <c r="Q1208" i="49"/>
  <c r="Q1209" i="49"/>
  <c r="Q1210" i="49"/>
  <c r="Q1211" i="49"/>
  <c r="Q1212" i="49"/>
  <c r="Q1213" i="49"/>
  <c r="Q1214" i="49"/>
  <c r="Q1215" i="49"/>
  <c r="Q1216" i="49"/>
  <c r="Q1217" i="49"/>
  <c r="Q1218" i="49"/>
  <c r="Q1219" i="49"/>
  <c r="Q1220" i="49"/>
  <c r="Q1221" i="49"/>
  <c r="Q1222" i="49"/>
  <c r="Q1223" i="49"/>
  <c r="Q1224" i="49"/>
  <c r="Q1225" i="49"/>
  <c r="Q1226" i="49"/>
  <c r="Q1227" i="49"/>
  <c r="Q1228" i="49"/>
  <c r="Q1229" i="49"/>
  <c r="Q1230" i="49"/>
  <c r="Q1231" i="49"/>
  <c r="Q1232" i="49"/>
  <c r="Q1233" i="49"/>
  <c r="Q1234" i="49"/>
  <c r="Q1235" i="49"/>
  <c r="Q1236" i="49"/>
  <c r="Q1237" i="49"/>
  <c r="Q1238" i="49"/>
  <c r="Q1239" i="49"/>
  <c r="Q1240" i="49"/>
  <c r="Q1241" i="49"/>
  <c r="Q1242" i="49"/>
  <c r="Q1243" i="49"/>
  <c r="Q1244" i="49"/>
  <c r="Q1245" i="49"/>
  <c r="Q1246" i="49"/>
  <c r="Q1247" i="49"/>
  <c r="Q1248" i="49"/>
  <c r="Q1249" i="49"/>
  <c r="Q1250" i="49"/>
  <c r="Q1251" i="49"/>
  <c r="Q1252" i="49"/>
  <c r="Q1253" i="49"/>
  <c r="Q1254" i="49"/>
  <c r="Q1255" i="49"/>
  <c r="Q1256" i="49"/>
  <c r="Q1257" i="49"/>
  <c r="Q1258" i="49"/>
  <c r="Q1259" i="49"/>
  <c r="Q1260" i="49"/>
  <c r="Q1261" i="49"/>
  <c r="Q1262" i="49"/>
  <c r="Q1263" i="49"/>
  <c r="Q1264" i="49"/>
  <c r="Q1265" i="49"/>
  <c r="Q1266" i="49"/>
  <c r="Q1267" i="49"/>
  <c r="Q1268" i="49"/>
  <c r="Q1269" i="49"/>
  <c r="Q1270" i="49"/>
  <c r="Q1271" i="49"/>
  <c r="Q1272" i="49"/>
  <c r="Q1273" i="49"/>
  <c r="Q1274" i="49"/>
  <c r="Q1275" i="49"/>
  <c r="Q1276" i="49"/>
  <c r="Q1277" i="49"/>
  <c r="Q1278" i="49"/>
  <c r="Q1279" i="49"/>
  <c r="Q1280" i="49"/>
  <c r="Q1281" i="49"/>
  <c r="Q1282" i="49"/>
  <c r="Q1283" i="49"/>
  <c r="Q1284" i="49"/>
  <c r="Q1285" i="49"/>
  <c r="Q1286" i="49"/>
  <c r="Q1287" i="49"/>
  <c r="Q1288" i="49"/>
  <c r="Q1289" i="49"/>
  <c r="Q1290" i="49"/>
  <c r="Q1291" i="49"/>
  <c r="Q1292" i="49"/>
  <c r="Q1293" i="49"/>
  <c r="Q1294" i="49"/>
  <c r="Q1295" i="49"/>
  <c r="Q1296" i="49"/>
  <c r="Q1297" i="49"/>
  <c r="Q1298" i="49"/>
  <c r="Q1299" i="49"/>
  <c r="Q1300" i="49"/>
  <c r="Q1301" i="49"/>
  <c r="Q1302" i="49"/>
  <c r="Q1303" i="49"/>
  <c r="Q1304" i="49"/>
  <c r="Q1305" i="49"/>
  <c r="Q1306" i="49"/>
  <c r="Q1307" i="49"/>
  <c r="Q1308" i="49"/>
  <c r="Q1309" i="49"/>
  <c r="Q1310" i="49"/>
  <c r="Q1311" i="49"/>
  <c r="Q1312" i="49"/>
  <c r="Q1313" i="49"/>
  <c r="Q1314" i="49"/>
  <c r="Q1315" i="49"/>
  <c r="Q1316" i="49"/>
  <c r="Q1317" i="49"/>
  <c r="Q1318" i="49"/>
  <c r="Q1319" i="49"/>
  <c r="Q1320" i="49"/>
  <c r="Q1321" i="49"/>
  <c r="Q1322" i="49"/>
  <c r="Q1323" i="49"/>
  <c r="Q1324" i="49"/>
  <c r="Q1325" i="49"/>
  <c r="Q1326" i="49"/>
  <c r="Q1327" i="49"/>
  <c r="Q1328" i="49"/>
  <c r="Q1329" i="49"/>
  <c r="Q1330" i="49"/>
  <c r="Q1331" i="49"/>
  <c r="Q1332" i="49"/>
  <c r="Q1333" i="49"/>
  <c r="Q1334" i="49"/>
  <c r="Q1335" i="49"/>
  <c r="Q1336" i="49"/>
  <c r="Q1337" i="49"/>
  <c r="Q1338" i="49"/>
  <c r="Q1339" i="49"/>
  <c r="Q1340" i="49"/>
  <c r="Q1341" i="49"/>
  <c r="Q1342" i="49"/>
  <c r="Q1343" i="49"/>
  <c r="Q1344" i="49"/>
  <c r="Q1345" i="49"/>
  <c r="Q1346" i="49"/>
  <c r="Q1347" i="49"/>
  <c r="Q1348" i="49"/>
  <c r="Q1349" i="49"/>
  <c r="Q1350" i="49"/>
  <c r="Q1351" i="49"/>
  <c r="Q1352" i="49"/>
  <c r="Q1353" i="49"/>
  <c r="Q1354" i="49"/>
  <c r="Q1355" i="49"/>
  <c r="Q1356" i="49"/>
  <c r="Q1357" i="49"/>
  <c r="Q1358" i="49"/>
  <c r="Q1359" i="49"/>
  <c r="Q1360" i="49"/>
  <c r="Q1361" i="49"/>
  <c r="Q1362" i="49"/>
  <c r="Q1363" i="49"/>
  <c r="Q1364" i="49"/>
  <c r="Q1365" i="49"/>
  <c r="Q1366" i="49"/>
  <c r="Q1367" i="49"/>
  <c r="Q1368" i="49"/>
  <c r="Q1369" i="49"/>
  <c r="Q1370" i="49"/>
  <c r="Q1371" i="49"/>
  <c r="Q1372" i="49"/>
  <c r="Q1373" i="49"/>
  <c r="Q1374" i="49"/>
  <c r="Q1375" i="49"/>
  <c r="Q1376" i="49"/>
  <c r="Q1377" i="49"/>
  <c r="Q1378" i="49"/>
  <c r="Q1379" i="49"/>
  <c r="Q1380" i="49"/>
  <c r="Q1381" i="49"/>
  <c r="Q1382" i="49"/>
  <c r="Q1383" i="49"/>
  <c r="Q1384" i="49"/>
  <c r="Q1385" i="49"/>
  <c r="Q1386" i="49"/>
  <c r="Q1387" i="49"/>
  <c r="Q1388" i="49"/>
  <c r="Q1389" i="49"/>
  <c r="Q1390" i="49"/>
  <c r="Q1391" i="49"/>
  <c r="Q1392" i="49"/>
  <c r="Q1393" i="49"/>
  <c r="Q1394" i="49"/>
  <c r="Q1395" i="49"/>
  <c r="Q1396" i="49"/>
  <c r="Q1397" i="49"/>
  <c r="Q1398" i="49"/>
  <c r="Q1399" i="49"/>
  <c r="Q1400" i="49"/>
  <c r="Q1401" i="49"/>
  <c r="Q1402" i="49"/>
  <c r="Q1403" i="49"/>
  <c r="Q1404" i="49"/>
  <c r="Q1405" i="49"/>
  <c r="Q1406" i="49"/>
  <c r="Q1407" i="49"/>
  <c r="Q1408" i="49"/>
  <c r="Q1409" i="49"/>
  <c r="Q1410" i="49"/>
  <c r="Q1411" i="49"/>
  <c r="Q1412" i="49"/>
  <c r="Q1413" i="49"/>
  <c r="Q1414" i="49"/>
  <c r="Q1415" i="49"/>
  <c r="Q1416" i="49"/>
  <c r="Q1417" i="49"/>
  <c r="Q1418" i="49"/>
  <c r="Q1419" i="49"/>
  <c r="Q1420" i="49"/>
  <c r="Q1421" i="49"/>
  <c r="Q1422" i="49"/>
  <c r="Q1423" i="49"/>
  <c r="Q1424" i="49"/>
  <c r="Q1425" i="49"/>
  <c r="Q1426" i="49"/>
  <c r="Q1427" i="49"/>
  <c r="Q1428" i="49"/>
  <c r="Q1429" i="49"/>
  <c r="Q1430" i="49"/>
  <c r="Q1431" i="49"/>
  <c r="Q1432" i="49"/>
  <c r="Q1433" i="49"/>
  <c r="Q1434" i="49"/>
  <c r="Q1435" i="49"/>
  <c r="Q1436" i="49"/>
  <c r="Q1437" i="49"/>
  <c r="Q1438" i="49"/>
  <c r="Q1439" i="49"/>
  <c r="Q1440" i="49"/>
  <c r="Q13" i="49"/>
  <c r="K15" i="49"/>
  <c r="K17" i="49"/>
  <c r="K18" i="49"/>
  <c r="K19" i="49"/>
  <c r="K20" i="49"/>
  <c r="K21" i="49"/>
  <c r="K22" i="49"/>
  <c r="K23" i="49"/>
  <c r="K24" i="49"/>
  <c r="K25" i="49"/>
  <c r="K26" i="49"/>
  <c r="K27" i="49"/>
  <c r="K28" i="49"/>
  <c r="K29" i="49"/>
  <c r="K30" i="49"/>
  <c r="K31" i="49"/>
  <c r="K32" i="49"/>
  <c r="K33" i="49"/>
  <c r="K34" i="49"/>
  <c r="K35" i="49"/>
  <c r="K36" i="49"/>
  <c r="K37" i="49"/>
  <c r="K38" i="49"/>
  <c r="K39" i="49"/>
  <c r="K40" i="49"/>
  <c r="K41" i="49"/>
  <c r="K42" i="49"/>
  <c r="K43" i="49"/>
  <c r="K44" i="49"/>
  <c r="K45" i="49"/>
  <c r="K46" i="49"/>
  <c r="K47" i="49"/>
  <c r="K48" i="49"/>
  <c r="K49" i="49"/>
  <c r="K50" i="49"/>
  <c r="K51" i="49"/>
  <c r="K52" i="49"/>
  <c r="K53" i="49"/>
  <c r="K54" i="49"/>
  <c r="K55" i="49"/>
  <c r="K56" i="49"/>
  <c r="K57" i="49"/>
  <c r="K58" i="49"/>
  <c r="K59" i="49"/>
  <c r="K60" i="49"/>
  <c r="K61" i="49"/>
  <c r="K62" i="49"/>
  <c r="K63" i="49"/>
  <c r="K64" i="49"/>
  <c r="K65" i="49"/>
  <c r="K66" i="49"/>
  <c r="K67" i="49"/>
  <c r="K68" i="49"/>
  <c r="K69" i="49"/>
  <c r="K70" i="49"/>
  <c r="K71" i="49"/>
  <c r="K72" i="49"/>
  <c r="K73" i="49"/>
  <c r="K74" i="49"/>
  <c r="K75" i="49"/>
  <c r="K76" i="49"/>
  <c r="K77" i="49"/>
  <c r="K78" i="49"/>
  <c r="K79" i="49"/>
  <c r="K80" i="49"/>
  <c r="K81" i="49"/>
  <c r="K82" i="49"/>
  <c r="K83" i="49"/>
  <c r="K84" i="49"/>
  <c r="K85" i="49"/>
  <c r="K86" i="49"/>
  <c r="K87" i="49"/>
  <c r="K88" i="49"/>
  <c r="K89" i="49"/>
  <c r="K90" i="49"/>
  <c r="K91" i="49"/>
  <c r="K92" i="49"/>
  <c r="K93" i="49"/>
  <c r="K94" i="49"/>
  <c r="K95" i="49"/>
  <c r="K96" i="49"/>
  <c r="K97" i="49"/>
  <c r="K98" i="49"/>
  <c r="K99" i="49"/>
  <c r="K100" i="49"/>
  <c r="K101" i="49"/>
  <c r="K102" i="49"/>
  <c r="K103" i="49"/>
  <c r="K104" i="49"/>
  <c r="K105" i="49"/>
  <c r="K106" i="49"/>
  <c r="K107" i="49"/>
  <c r="K108" i="49"/>
  <c r="K109" i="49"/>
  <c r="K110" i="49"/>
  <c r="K111" i="49"/>
  <c r="K112" i="49"/>
  <c r="K113" i="49"/>
  <c r="K114" i="49"/>
  <c r="K115" i="49"/>
  <c r="K116" i="49"/>
  <c r="K117" i="49"/>
  <c r="K118" i="49"/>
  <c r="K119" i="49"/>
  <c r="K120" i="49"/>
  <c r="K121" i="49"/>
  <c r="K122" i="49"/>
  <c r="K123" i="49"/>
  <c r="K124" i="49"/>
  <c r="K125" i="49"/>
  <c r="K126" i="49"/>
  <c r="K127" i="49"/>
  <c r="K128" i="49"/>
  <c r="K129" i="49"/>
  <c r="K130" i="49"/>
  <c r="K131" i="49"/>
  <c r="K132" i="49"/>
  <c r="K133" i="49"/>
  <c r="K134" i="49"/>
  <c r="K135" i="49"/>
  <c r="K136" i="49"/>
  <c r="K137" i="49"/>
  <c r="K138" i="49"/>
  <c r="K139" i="49"/>
  <c r="K140" i="49"/>
  <c r="K141" i="49"/>
  <c r="K142" i="49"/>
  <c r="K143" i="49"/>
  <c r="K144" i="49"/>
  <c r="K145" i="49"/>
  <c r="K146" i="49"/>
  <c r="K147" i="49"/>
  <c r="K148" i="49"/>
  <c r="K149" i="49"/>
  <c r="K150" i="49"/>
  <c r="K151" i="49"/>
  <c r="K152" i="49"/>
  <c r="K153" i="49"/>
  <c r="K154" i="49"/>
  <c r="K155" i="49"/>
  <c r="K156" i="49"/>
  <c r="K157" i="49"/>
  <c r="K158" i="49"/>
  <c r="K159" i="49"/>
  <c r="K160" i="49"/>
  <c r="K161" i="49"/>
  <c r="K162" i="49"/>
  <c r="K163" i="49"/>
  <c r="K164" i="49"/>
  <c r="K165" i="49"/>
  <c r="K166" i="49"/>
  <c r="K167" i="49"/>
  <c r="K168" i="49"/>
  <c r="K169" i="49"/>
  <c r="K170" i="49"/>
  <c r="K171" i="49"/>
  <c r="K172" i="49"/>
  <c r="K173" i="49"/>
  <c r="K174" i="49"/>
  <c r="K175" i="49"/>
  <c r="K176" i="49"/>
  <c r="K177" i="49"/>
  <c r="K178" i="49"/>
  <c r="K179" i="49"/>
  <c r="K180" i="49"/>
  <c r="K181" i="49"/>
  <c r="K182" i="49"/>
  <c r="K183" i="49"/>
  <c r="K184" i="49"/>
  <c r="K185" i="49"/>
  <c r="K186" i="49"/>
  <c r="K187" i="49"/>
  <c r="K188" i="49"/>
  <c r="K189" i="49"/>
  <c r="K190" i="49"/>
  <c r="K191" i="49"/>
  <c r="K192" i="49"/>
  <c r="K193" i="49"/>
  <c r="K194" i="49"/>
  <c r="K195" i="49"/>
  <c r="K196" i="49"/>
  <c r="K197" i="49"/>
  <c r="K198" i="49"/>
  <c r="K199" i="49"/>
  <c r="K200" i="49"/>
  <c r="K201" i="49"/>
  <c r="K202" i="49"/>
  <c r="K203" i="49"/>
  <c r="K204" i="49"/>
  <c r="K205" i="49"/>
  <c r="K206" i="49"/>
  <c r="K207" i="49"/>
  <c r="K208" i="49"/>
  <c r="K209" i="49"/>
  <c r="K210" i="49"/>
  <c r="K211" i="49"/>
  <c r="K212" i="49"/>
  <c r="K213" i="49"/>
  <c r="K214" i="49"/>
  <c r="K215" i="49"/>
  <c r="K216" i="49"/>
  <c r="K217" i="49"/>
  <c r="K218" i="49"/>
  <c r="K219" i="49"/>
  <c r="K220" i="49"/>
  <c r="K221" i="49"/>
  <c r="K222" i="49"/>
  <c r="K223" i="49"/>
  <c r="K224" i="49"/>
  <c r="K225" i="49"/>
  <c r="K226" i="49"/>
  <c r="K227" i="49"/>
  <c r="K228" i="49"/>
  <c r="K229" i="49"/>
  <c r="K230" i="49"/>
  <c r="K231" i="49"/>
  <c r="K232" i="49"/>
  <c r="K233" i="49"/>
  <c r="K234" i="49"/>
  <c r="K235" i="49"/>
  <c r="K236" i="49"/>
  <c r="K237" i="49"/>
  <c r="K238" i="49"/>
  <c r="K239" i="49"/>
  <c r="K240" i="49"/>
  <c r="K241" i="49"/>
  <c r="K242" i="49"/>
  <c r="K243" i="49"/>
  <c r="K244" i="49"/>
  <c r="K245" i="49"/>
  <c r="K246" i="49"/>
  <c r="K247" i="49"/>
  <c r="K248" i="49"/>
  <c r="K249" i="49"/>
  <c r="K250" i="49"/>
  <c r="K251" i="49"/>
  <c r="K252" i="49"/>
  <c r="K253" i="49"/>
  <c r="K254" i="49"/>
  <c r="K255" i="49"/>
  <c r="K256" i="49"/>
  <c r="K257" i="49"/>
  <c r="K258" i="49"/>
  <c r="K259" i="49"/>
  <c r="K260" i="49"/>
  <c r="K261" i="49"/>
  <c r="K262" i="49"/>
  <c r="K263" i="49"/>
  <c r="K264" i="49"/>
  <c r="K265" i="49"/>
  <c r="K266" i="49"/>
  <c r="K267" i="49"/>
  <c r="K268" i="49"/>
  <c r="K269" i="49"/>
  <c r="K270" i="49"/>
  <c r="K271" i="49"/>
  <c r="K272" i="49"/>
  <c r="K273" i="49"/>
  <c r="K274" i="49"/>
  <c r="K275" i="49"/>
  <c r="K276" i="49"/>
  <c r="K277" i="49"/>
  <c r="K278" i="49"/>
  <c r="K279" i="49"/>
  <c r="K280" i="49"/>
  <c r="K281" i="49"/>
  <c r="K282" i="49"/>
  <c r="K283" i="49"/>
  <c r="K284" i="49"/>
  <c r="K285" i="49"/>
  <c r="K286" i="49"/>
  <c r="K287" i="49"/>
  <c r="K288" i="49"/>
  <c r="K289" i="49"/>
  <c r="K290" i="49"/>
  <c r="K291" i="49"/>
  <c r="K292" i="49"/>
  <c r="K293" i="49"/>
  <c r="K294" i="49"/>
  <c r="K295" i="49"/>
  <c r="K296" i="49"/>
  <c r="K297" i="49"/>
  <c r="K298" i="49"/>
  <c r="K299" i="49"/>
  <c r="K300" i="49"/>
  <c r="K301" i="49"/>
  <c r="K302" i="49"/>
  <c r="K303" i="49"/>
  <c r="K304" i="49"/>
  <c r="K305" i="49"/>
  <c r="K306" i="49"/>
  <c r="K307" i="49"/>
  <c r="K308" i="49"/>
  <c r="K309" i="49"/>
  <c r="K310" i="49"/>
  <c r="K311" i="49"/>
  <c r="K312" i="49"/>
  <c r="K313" i="49"/>
  <c r="K314" i="49"/>
  <c r="K315" i="49"/>
  <c r="K316" i="49"/>
  <c r="K317" i="49"/>
  <c r="K318" i="49"/>
  <c r="K319" i="49"/>
  <c r="K320" i="49"/>
  <c r="K321" i="49"/>
  <c r="K322" i="49"/>
  <c r="K323" i="49"/>
  <c r="K324" i="49"/>
  <c r="K325" i="49"/>
  <c r="K326" i="49"/>
  <c r="K327" i="49"/>
  <c r="K328" i="49"/>
  <c r="K329" i="49"/>
  <c r="K330" i="49"/>
  <c r="K331" i="49"/>
  <c r="K332" i="49"/>
  <c r="K333" i="49"/>
  <c r="K334" i="49"/>
  <c r="K335" i="49"/>
  <c r="K336" i="49"/>
  <c r="K337" i="49"/>
  <c r="K338" i="49"/>
  <c r="K339" i="49"/>
  <c r="K340" i="49"/>
  <c r="K341" i="49"/>
  <c r="K342" i="49"/>
  <c r="K343" i="49"/>
  <c r="K344" i="49"/>
  <c r="K345" i="49"/>
  <c r="K346" i="49"/>
  <c r="K347" i="49"/>
  <c r="K348" i="49"/>
  <c r="K349" i="49"/>
  <c r="K350" i="49"/>
  <c r="K351" i="49"/>
  <c r="K352" i="49"/>
  <c r="K353" i="49"/>
  <c r="K354" i="49"/>
  <c r="K355" i="49"/>
  <c r="K356" i="49"/>
  <c r="K357" i="49"/>
  <c r="K358" i="49"/>
  <c r="K359" i="49"/>
  <c r="K360" i="49"/>
  <c r="K361" i="49"/>
  <c r="K362" i="49"/>
  <c r="K363" i="49"/>
  <c r="K364" i="49"/>
  <c r="K365" i="49"/>
  <c r="K366" i="49"/>
  <c r="K367" i="49"/>
  <c r="K368" i="49"/>
  <c r="K369" i="49"/>
  <c r="K370" i="49"/>
  <c r="K371" i="49"/>
  <c r="K372" i="49"/>
  <c r="K373" i="49"/>
  <c r="K374" i="49"/>
  <c r="K375" i="49"/>
  <c r="K376" i="49"/>
  <c r="K377" i="49"/>
  <c r="K378" i="49"/>
  <c r="K379" i="49"/>
  <c r="K380" i="49"/>
  <c r="K381" i="49"/>
  <c r="K382" i="49"/>
  <c r="K383" i="49"/>
  <c r="K384" i="49"/>
  <c r="K385" i="49"/>
  <c r="K386" i="49"/>
  <c r="K387" i="49"/>
  <c r="K388" i="49"/>
  <c r="K389" i="49"/>
  <c r="K390" i="49"/>
  <c r="K391" i="49"/>
  <c r="K392" i="49"/>
  <c r="K393" i="49"/>
  <c r="K394" i="49"/>
  <c r="K395" i="49"/>
  <c r="K396" i="49"/>
  <c r="K397" i="49"/>
  <c r="K398" i="49"/>
  <c r="K399" i="49"/>
  <c r="K400" i="49"/>
  <c r="K401" i="49"/>
  <c r="K402" i="49"/>
  <c r="K403" i="49"/>
  <c r="K404" i="49"/>
  <c r="K405" i="49"/>
  <c r="K406" i="49"/>
  <c r="K407" i="49"/>
  <c r="K408" i="49"/>
  <c r="K409" i="49"/>
  <c r="K410" i="49"/>
  <c r="K411" i="49"/>
  <c r="K412" i="49"/>
  <c r="K413" i="49"/>
  <c r="K414" i="49"/>
  <c r="K415" i="49"/>
  <c r="K416" i="49"/>
  <c r="K417" i="49"/>
  <c r="K418" i="49"/>
  <c r="K419" i="49"/>
  <c r="K420" i="49"/>
  <c r="K421" i="49"/>
  <c r="K422" i="49"/>
  <c r="K423" i="49"/>
  <c r="K424" i="49"/>
  <c r="K425" i="49"/>
  <c r="K426" i="49"/>
  <c r="K427" i="49"/>
  <c r="K428" i="49"/>
  <c r="K429" i="49"/>
  <c r="K430" i="49"/>
  <c r="K431" i="49"/>
  <c r="K432" i="49"/>
  <c r="K433" i="49"/>
  <c r="K434" i="49"/>
  <c r="K435" i="49"/>
  <c r="K436" i="49"/>
  <c r="K437" i="49"/>
  <c r="K438" i="49"/>
  <c r="K439" i="49"/>
  <c r="K440" i="49"/>
  <c r="K441" i="49"/>
  <c r="K442" i="49"/>
  <c r="K443" i="49"/>
  <c r="K444" i="49"/>
  <c r="K445" i="49"/>
  <c r="K446" i="49"/>
  <c r="K447" i="49"/>
  <c r="K448" i="49"/>
  <c r="K449" i="49"/>
  <c r="K450" i="49"/>
  <c r="K451" i="49"/>
  <c r="K452" i="49"/>
  <c r="K453" i="49"/>
  <c r="K454" i="49"/>
  <c r="K455" i="49"/>
  <c r="K456" i="49"/>
  <c r="K457" i="49"/>
  <c r="K458" i="49"/>
  <c r="K459" i="49"/>
  <c r="K460" i="49"/>
  <c r="K461" i="49"/>
  <c r="K462" i="49"/>
  <c r="K463" i="49"/>
  <c r="K464" i="49"/>
  <c r="K465" i="49"/>
  <c r="K466" i="49"/>
  <c r="K467" i="49"/>
  <c r="K468" i="49"/>
  <c r="K469" i="49"/>
  <c r="K470" i="49"/>
  <c r="K471" i="49"/>
  <c r="K472" i="49"/>
  <c r="K473" i="49"/>
  <c r="K474" i="49"/>
  <c r="K475" i="49"/>
  <c r="K476" i="49"/>
  <c r="K477" i="49"/>
  <c r="K478" i="49"/>
  <c r="K479" i="49"/>
  <c r="K480" i="49"/>
  <c r="K481" i="49"/>
  <c r="K482" i="49"/>
  <c r="K483" i="49"/>
  <c r="K484" i="49"/>
  <c r="K485" i="49"/>
  <c r="K486" i="49"/>
  <c r="K487" i="49"/>
  <c r="K488" i="49"/>
  <c r="K489" i="49"/>
  <c r="K490" i="49"/>
  <c r="K491" i="49"/>
  <c r="K492" i="49"/>
  <c r="K493" i="49"/>
  <c r="K494" i="49"/>
  <c r="K495" i="49"/>
  <c r="K496" i="49"/>
  <c r="K497" i="49"/>
  <c r="K498" i="49"/>
  <c r="K499" i="49"/>
  <c r="K500" i="49"/>
  <c r="K501" i="49"/>
  <c r="K502" i="49"/>
  <c r="K503" i="49"/>
  <c r="K504" i="49"/>
  <c r="K505" i="49"/>
  <c r="K506" i="49"/>
  <c r="K507" i="49"/>
  <c r="K508" i="49"/>
  <c r="K509" i="49"/>
  <c r="K510" i="49"/>
  <c r="K511" i="49"/>
  <c r="K512" i="49"/>
  <c r="K513" i="49"/>
  <c r="K514" i="49"/>
  <c r="K515" i="49"/>
  <c r="K516" i="49"/>
  <c r="K517" i="49"/>
  <c r="K518" i="49"/>
  <c r="K519" i="49"/>
  <c r="K520" i="49"/>
  <c r="K521" i="49"/>
  <c r="K522" i="49"/>
  <c r="K523" i="49"/>
  <c r="K524" i="49"/>
  <c r="K525" i="49"/>
  <c r="K526" i="49"/>
  <c r="K527" i="49"/>
  <c r="K528" i="49"/>
  <c r="K529" i="49"/>
  <c r="K530" i="49"/>
  <c r="K531" i="49"/>
  <c r="K532" i="49"/>
  <c r="K533" i="49"/>
  <c r="K534" i="49"/>
  <c r="K535" i="49"/>
  <c r="K536" i="49"/>
  <c r="K537" i="49"/>
  <c r="K538" i="49"/>
  <c r="K539" i="49"/>
  <c r="K540" i="49"/>
  <c r="K541" i="49"/>
  <c r="K542" i="49"/>
  <c r="K543" i="49"/>
  <c r="K544" i="49"/>
  <c r="K545" i="49"/>
  <c r="K546" i="49"/>
  <c r="K547" i="49"/>
  <c r="K548" i="49"/>
  <c r="K549" i="49"/>
  <c r="K550" i="49"/>
  <c r="K551" i="49"/>
  <c r="K552" i="49"/>
  <c r="K553" i="49"/>
  <c r="K554" i="49"/>
  <c r="K555" i="49"/>
  <c r="K556" i="49"/>
  <c r="K557" i="49"/>
  <c r="K558" i="49"/>
  <c r="K559" i="49"/>
  <c r="K560" i="49"/>
  <c r="K561" i="49"/>
  <c r="K562" i="49"/>
  <c r="K563" i="49"/>
  <c r="K564" i="49"/>
  <c r="K565" i="49"/>
  <c r="K566" i="49"/>
  <c r="K567" i="49"/>
  <c r="K568" i="49"/>
  <c r="K569" i="49"/>
  <c r="K570" i="49"/>
  <c r="K571" i="49"/>
  <c r="K572" i="49"/>
  <c r="K573" i="49"/>
  <c r="K574" i="49"/>
  <c r="K575" i="49"/>
  <c r="K576" i="49"/>
  <c r="K577" i="49"/>
  <c r="K578" i="49"/>
  <c r="K579" i="49"/>
  <c r="K580" i="49"/>
  <c r="K581" i="49"/>
  <c r="K582" i="49"/>
  <c r="K583" i="49"/>
  <c r="K584" i="49"/>
  <c r="K585" i="49"/>
  <c r="K586" i="49"/>
  <c r="K587" i="49"/>
  <c r="K588" i="49"/>
  <c r="K589" i="49"/>
  <c r="K590" i="49"/>
  <c r="K591" i="49"/>
  <c r="K592" i="49"/>
  <c r="K593" i="49"/>
  <c r="K594" i="49"/>
  <c r="K595" i="49"/>
  <c r="K596" i="49"/>
  <c r="K597" i="49"/>
  <c r="K598" i="49"/>
  <c r="K599" i="49"/>
  <c r="K600" i="49"/>
  <c r="K601" i="49"/>
  <c r="K602" i="49"/>
  <c r="K603" i="49"/>
  <c r="K604" i="49"/>
  <c r="K605" i="49"/>
  <c r="K606" i="49"/>
  <c r="K607" i="49"/>
  <c r="K608" i="49"/>
  <c r="K609" i="49"/>
  <c r="K610" i="49"/>
  <c r="K611" i="49"/>
  <c r="K612" i="49"/>
  <c r="K613" i="49"/>
  <c r="K614" i="49"/>
  <c r="K615" i="49"/>
  <c r="K616" i="49"/>
  <c r="K617" i="49"/>
  <c r="K618" i="49"/>
  <c r="K619" i="49"/>
  <c r="K620" i="49"/>
  <c r="K621" i="49"/>
  <c r="K622" i="49"/>
  <c r="K623" i="49"/>
  <c r="K624" i="49"/>
  <c r="K625" i="49"/>
  <c r="K626" i="49"/>
  <c r="K627" i="49"/>
  <c r="K628" i="49"/>
  <c r="K629" i="49"/>
  <c r="K630" i="49"/>
  <c r="K631" i="49"/>
  <c r="K632" i="49"/>
  <c r="K633" i="49"/>
  <c r="K634" i="49"/>
  <c r="K635" i="49"/>
  <c r="K636" i="49"/>
  <c r="K637" i="49"/>
  <c r="K638" i="49"/>
  <c r="K639" i="49"/>
  <c r="K640" i="49"/>
  <c r="K641" i="49"/>
  <c r="K642" i="49"/>
  <c r="K643" i="49"/>
  <c r="K644" i="49"/>
  <c r="K645" i="49"/>
  <c r="K646" i="49"/>
  <c r="K647" i="49"/>
  <c r="K648" i="49"/>
  <c r="K649" i="49"/>
  <c r="K650" i="49"/>
  <c r="K651" i="49"/>
  <c r="K652" i="49"/>
  <c r="K653" i="49"/>
  <c r="K654" i="49"/>
  <c r="K655" i="49"/>
  <c r="K656" i="49"/>
  <c r="K657" i="49"/>
  <c r="K658" i="49"/>
  <c r="K659" i="49"/>
  <c r="K660" i="49"/>
  <c r="K661" i="49"/>
  <c r="K662" i="49"/>
  <c r="K663" i="49"/>
  <c r="K664" i="49"/>
  <c r="K665" i="49"/>
  <c r="K666" i="49"/>
  <c r="K667" i="49"/>
  <c r="K668" i="49"/>
  <c r="K669" i="49"/>
  <c r="K670" i="49"/>
  <c r="K671" i="49"/>
  <c r="K672" i="49"/>
  <c r="K673" i="49"/>
  <c r="K674" i="49"/>
  <c r="K675" i="49"/>
  <c r="K676" i="49"/>
  <c r="K677" i="49"/>
  <c r="K678" i="49"/>
  <c r="K679" i="49"/>
  <c r="K680" i="49"/>
  <c r="K681" i="49"/>
  <c r="K682" i="49"/>
  <c r="K683" i="49"/>
  <c r="K684" i="49"/>
  <c r="K685" i="49"/>
  <c r="K686" i="49"/>
  <c r="K687" i="49"/>
  <c r="K688" i="49"/>
  <c r="K689" i="49"/>
  <c r="K690" i="49"/>
  <c r="K691" i="49"/>
  <c r="K692" i="49"/>
  <c r="K693" i="49"/>
  <c r="K694" i="49"/>
  <c r="K695" i="49"/>
  <c r="K696" i="49"/>
  <c r="K697" i="49"/>
  <c r="K698" i="49"/>
  <c r="K699" i="49"/>
  <c r="K700" i="49"/>
  <c r="K701" i="49"/>
  <c r="K702" i="49"/>
  <c r="K703" i="49"/>
  <c r="K704" i="49"/>
  <c r="K705" i="49"/>
  <c r="K706" i="49"/>
  <c r="K707" i="49"/>
  <c r="K708" i="49"/>
  <c r="K709" i="49"/>
  <c r="K710" i="49"/>
  <c r="K711" i="49"/>
  <c r="K712" i="49"/>
  <c r="K713" i="49"/>
  <c r="K714" i="49"/>
  <c r="K715" i="49"/>
  <c r="K716" i="49"/>
  <c r="K717" i="49"/>
  <c r="K718" i="49"/>
  <c r="K719" i="49"/>
  <c r="K720" i="49"/>
  <c r="K721" i="49"/>
  <c r="K722" i="49"/>
  <c r="K723" i="49"/>
  <c r="K724" i="49"/>
  <c r="K725" i="49"/>
  <c r="K726" i="49"/>
  <c r="K727" i="49"/>
  <c r="K728" i="49"/>
  <c r="K729" i="49"/>
  <c r="K730" i="49"/>
  <c r="K731" i="49"/>
  <c r="K732" i="49"/>
  <c r="K733" i="49"/>
  <c r="K734" i="49"/>
  <c r="K735" i="49"/>
  <c r="K736" i="49"/>
  <c r="K737" i="49"/>
  <c r="K738" i="49"/>
  <c r="K739" i="49"/>
  <c r="K740" i="49"/>
  <c r="K741" i="49"/>
  <c r="K742" i="49"/>
  <c r="K743" i="49"/>
  <c r="K744" i="49"/>
  <c r="K745" i="49"/>
  <c r="K746" i="49"/>
  <c r="K747" i="49"/>
  <c r="K748" i="49"/>
  <c r="K749" i="49"/>
  <c r="K750" i="49"/>
  <c r="K751" i="49"/>
  <c r="K752" i="49"/>
  <c r="K753" i="49"/>
  <c r="K754" i="49"/>
  <c r="K755" i="49"/>
  <c r="K756" i="49"/>
  <c r="K757" i="49"/>
  <c r="K758" i="49"/>
  <c r="K759" i="49"/>
  <c r="K760" i="49"/>
  <c r="K761" i="49"/>
  <c r="K762" i="49"/>
  <c r="K763" i="49"/>
  <c r="K764" i="49"/>
  <c r="K765" i="49"/>
  <c r="K766" i="49"/>
  <c r="K767" i="49"/>
  <c r="K768" i="49"/>
  <c r="K769" i="49"/>
  <c r="K770" i="49"/>
  <c r="K771" i="49"/>
  <c r="K772" i="49"/>
  <c r="K773" i="49"/>
  <c r="K774" i="49"/>
  <c r="K775" i="49"/>
  <c r="K776" i="49"/>
  <c r="K777" i="49"/>
  <c r="K778" i="49"/>
  <c r="K779" i="49"/>
  <c r="K780" i="49"/>
  <c r="K781" i="49"/>
  <c r="K782" i="49"/>
  <c r="K783" i="49"/>
  <c r="K784" i="49"/>
  <c r="K785" i="49"/>
  <c r="K786" i="49"/>
  <c r="K787" i="49"/>
  <c r="K788" i="49"/>
  <c r="K789" i="49"/>
  <c r="K790" i="49"/>
  <c r="K791" i="49"/>
  <c r="K792" i="49"/>
  <c r="K793" i="49"/>
  <c r="K794" i="49"/>
  <c r="K795" i="49"/>
  <c r="K796" i="49"/>
  <c r="K797" i="49"/>
  <c r="K798" i="49"/>
  <c r="K799" i="49"/>
  <c r="K800" i="49"/>
  <c r="K801" i="49"/>
  <c r="K802" i="49"/>
  <c r="K803" i="49"/>
  <c r="K804" i="49"/>
  <c r="K805" i="49"/>
  <c r="K806" i="49"/>
  <c r="K807" i="49"/>
  <c r="K808" i="49"/>
  <c r="K809" i="49"/>
  <c r="K810" i="49"/>
  <c r="K811" i="49"/>
  <c r="K812" i="49"/>
  <c r="K813" i="49"/>
  <c r="K814" i="49"/>
  <c r="K815" i="49"/>
  <c r="K816" i="49"/>
  <c r="K817" i="49"/>
  <c r="K818" i="49"/>
  <c r="K819" i="49"/>
  <c r="K820" i="49"/>
  <c r="K821" i="49"/>
  <c r="K822" i="49"/>
  <c r="K823" i="49"/>
  <c r="K824" i="49"/>
  <c r="K825" i="49"/>
  <c r="K826" i="49"/>
  <c r="K827" i="49"/>
  <c r="K828" i="49"/>
  <c r="K829" i="49"/>
  <c r="K830" i="49"/>
  <c r="K831" i="49"/>
  <c r="K832" i="49"/>
  <c r="K833" i="49"/>
  <c r="K834" i="49"/>
  <c r="K835" i="49"/>
  <c r="K836" i="49"/>
  <c r="K837" i="49"/>
  <c r="K838" i="49"/>
  <c r="K839" i="49"/>
  <c r="K840" i="49"/>
  <c r="K841" i="49"/>
  <c r="K842" i="49"/>
  <c r="K843" i="49"/>
  <c r="K844" i="49"/>
  <c r="K845" i="49"/>
  <c r="K846" i="49"/>
  <c r="K847" i="49"/>
  <c r="K848" i="49"/>
  <c r="K849" i="49"/>
  <c r="K850" i="49"/>
  <c r="K851" i="49"/>
  <c r="K852" i="49"/>
  <c r="K853" i="49"/>
  <c r="K854" i="49"/>
  <c r="K855" i="49"/>
  <c r="K856" i="49"/>
  <c r="K857" i="49"/>
  <c r="K858" i="49"/>
  <c r="K859" i="49"/>
  <c r="K860" i="49"/>
  <c r="K861" i="49"/>
  <c r="K862" i="49"/>
  <c r="K863" i="49"/>
  <c r="K864" i="49"/>
  <c r="K865" i="49"/>
  <c r="K866" i="49"/>
  <c r="K867" i="49"/>
  <c r="K868" i="49"/>
  <c r="K869" i="49"/>
  <c r="K870" i="49"/>
  <c r="K871" i="49"/>
  <c r="K872" i="49"/>
  <c r="K873" i="49"/>
  <c r="K874" i="49"/>
  <c r="K875" i="49"/>
  <c r="K876" i="49"/>
  <c r="K877" i="49"/>
  <c r="K878" i="49"/>
  <c r="K879" i="49"/>
  <c r="K880" i="49"/>
  <c r="K881" i="49"/>
  <c r="K882" i="49"/>
  <c r="K883" i="49"/>
  <c r="K884" i="49"/>
  <c r="K885" i="49"/>
  <c r="K886" i="49"/>
  <c r="K887" i="49"/>
  <c r="K888" i="49"/>
  <c r="K889" i="49"/>
  <c r="K890" i="49"/>
  <c r="K891" i="49"/>
  <c r="K892" i="49"/>
  <c r="K893" i="49"/>
  <c r="K894" i="49"/>
  <c r="K895" i="49"/>
  <c r="K896" i="49"/>
  <c r="K897" i="49"/>
  <c r="K898" i="49"/>
  <c r="K899" i="49"/>
  <c r="K900" i="49"/>
  <c r="K901" i="49"/>
  <c r="K902" i="49"/>
  <c r="K903" i="49"/>
  <c r="K904" i="49"/>
  <c r="K905" i="49"/>
  <c r="K906" i="49"/>
  <c r="K907" i="49"/>
  <c r="K908" i="49"/>
  <c r="K909" i="49"/>
  <c r="K910" i="49"/>
  <c r="K911" i="49"/>
  <c r="K912" i="49"/>
  <c r="K913" i="49"/>
  <c r="K914" i="49"/>
  <c r="K915" i="49"/>
  <c r="K916" i="49"/>
  <c r="K917" i="49"/>
  <c r="K918" i="49"/>
  <c r="K919" i="49"/>
  <c r="K920" i="49"/>
  <c r="K921" i="49"/>
  <c r="K922" i="49"/>
  <c r="K923" i="49"/>
  <c r="K924" i="49"/>
  <c r="K925" i="49"/>
  <c r="K926" i="49"/>
  <c r="K927" i="49"/>
  <c r="K928" i="49"/>
  <c r="K929" i="49"/>
  <c r="K930" i="49"/>
  <c r="K931" i="49"/>
  <c r="K932" i="49"/>
  <c r="K933" i="49"/>
  <c r="K934" i="49"/>
  <c r="K935" i="49"/>
  <c r="K936" i="49"/>
  <c r="K937" i="49"/>
  <c r="K938" i="49"/>
  <c r="K939" i="49"/>
  <c r="K940" i="49"/>
  <c r="K941" i="49"/>
  <c r="K942" i="49"/>
  <c r="K943" i="49"/>
  <c r="K944" i="49"/>
  <c r="K945" i="49"/>
  <c r="K946" i="49"/>
  <c r="K947" i="49"/>
  <c r="K948" i="49"/>
  <c r="K949" i="49"/>
  <c r="K950" i="49"/>
  <c r="K951" i="49"/>
  <c r="K952" i="49"/>
  <c r="K953" i="49"/>
  <c r="K954" i="49"/>
  <c r="K955" i="49"/>
  <c r="K956" i="49"/>
  <c r="K957" i="49"/>
  <c r="K958" i="49"/>
  <c r="K959" i="49"/>
  <c r="K960" i="49"/>
  <c r="K961" i="49"/>
  <c r="K962" i="49"/>
  <c r="K963" i="49"/>
  <c r="K964" i="49"/>
  <c r="K965" i="49"/>
  <c r="K966" i="49"/>
  <c r="K967" i="49"/>
  <c r="K968" i="49"/>
  <c r="K969" i="49"/>
  <c r="K970" i="49"/>
  <c r="K971" i="49"/>
  <c r="K972" i="49"/>
  <c r="K973" i="49"/>
  <c r="K974" i="49"/>
  <c r="K975" i="49"/>
  <c r="K976" i="49"/>
  <c r="K977" i="49"/>
  <c r="K978" i="49"/>
  <c r="K979" i="49"/>
  <c r="K980" i="49"/>
  <c r="K981" i="49"/>
  <c r="K982" i="49"/>
  <c r="K983" i="49"/>
  <c r="K984" i="49"/>
  <c r="K985" i="49"/>
  <c r="K986" i="49"/>
  <c r="K987" i="49"/>
  <c r="K988" i="49"/>
  <c r="K989" i="49"/>
  <c r="K990" i="49"/>
  <c r="K991" i="49"/>
  <c r="K992" i="49"/>
  <c r="K993" i="49"/>
  <c r="K994" i="49"/>
  <c r="K995" i="49"/>
  <c r="K996" i="49"/>
  <c r="K997" i="49"/>
  <c r="K998" i="49"/>
  <c r="K999" i="49"/>
  <c r="K1000" i="49"/>
  <c r="K1001" i="49"/>
  <c r="K1002" i="49"/>
  <c r="K1003" i="49"/>
  <c r="K1004" i="49"/>
  <c r="K1005" i="49"/>
  <c r="K1006" i="49"/>
  <c r="K1007" i="49"/>
  <c r="K1008" i="49"/>
  <c r="K1009" i="49"/>
  <c r="K1010" i="49"/>
  <c r="K1011" i="49"/>
  <c r="K1012" i="49"/>
  <c r="K1013" i="49"/>
  <c r="K1014" i="49"/>
  <c r="K1015" i="49"/>
  <c r="K1016" i="49"/>
  <c r="K1017" i="49"/>
  <c r="K1018" i="49"/>
  <c r="K1019" i="49"/>
  <c r="K1020" i="49"/>
  <c r="K1021" i="49"/>
  <c r="K1022" i="49"/>
  <c r="K1023" i="49"/>
  <c r="K1024" i="49"/>
  <c r="K1025" i="49"/>
  <c r="K1026" i="49"/>
  <c r="K1027" i="49"/>
  <c r="K1028" i="49"/>
  <c r="K1029" i="49"/>
  <c r="K1030" i="49"/>
  <c r="K1031" i="49"/>
  <c r="K1032" i="49"/>
  <c r="K1033" i="49"/>
  <c r="K1034" i="49"/>
  <c r="K1035" i="49"/>
  <c r="K1036" i="49"/>
  <c r="K1037" i="49"/>
  <c r="K1038" i="49"/>
  <c r="K1039" i="49"/>
  <c r="K1040" i="49"/>
  <c r="K1041" i="49"/>
  <c r="K1042" i="49"/>
  <c r="K1043" i="49"/>
  <c r="K1044" i="49"/>
  <c r="K1045" i="49"/>
  <c r="K1046" i="49"/>
  <c r="K1047" i="49"/>
  <c r="K1048" i="49"/>
  <c r="K1049" i="49"/>
  <c r="K1050" i="49"/>
  <c r="K1051" i="49"/>
  <c r="K1052" i="49"/>
  <c r="K1053" i="49"/>
  <c r="K1054" i="49"/>
  <c r="K1055" i="49"/>
  <c r="K1056" i="49"/>
  <c r="K1057" i="49"/>
  <c r="K1058" i="49"/>
  <c r="K1059" i="49"/>
  <c r="K1060" i="49"/>
  <c r="K1061" i="49"/>
  <c r="K1062" i="49"/>
  <c r="K1063" i="49"/>
  <c r="K1064" i="49"/>
  <c r="K1065" i="49"/>
  <c r="K1066" i="49"/>
  <c r="K1067" i="49"/>
  <c r="K1068" i="49"/>
  <c r="K1069" i="49"/>
  <c r="K1070" i="49"/>
  <c r="K1071" i="49"/>
  <c r="K1072" i="49"/>
  <c r="K1073" i="49"/>
  <c r="K1074" i="49"/>
  <c r="K1075" i="49"/>
  <c r="K1076" i="49"/>
  <c r="K1077" i="49"/>
  <c r="K1078" i="49"/>
  <c r="K1079" i="49"/>
  <c r="K1080" i="49"/>
  <c r="K1081" i="49"/>
  <c r="K1082" i="49"/>
  <c r="K1083" i="49"/>
  <c r="K1084" i="49"/>
  <c r="K1085" i="49"/>
  <c r="K1086" i="49"/>
  <c r="K1087" i="49"/>
  <c r="K1088" i="49"/>
  <c r="K1089" i="49"/>
  <c r="K1090" i="49"/>
  <c r="K1091" i="49"/>
  <c r="K1092" i="49"/>
  <c r="K1093" i="49"/>
  <c r="K1094" i="49"/>
  <c r="K1095" i="49"/>
  <c r="K1096" i="49"/>
  <c r="K1097" i="49"/>
  <c r="K1098" i="49"/>
  <c r="K1099" i="49"/>
  <c r="K1100" i="49"/>
  <c r="K1101" i="49"/>
  <c r="K1102" i="49"/>
  <c r="K1103" i="49"/>
  <c r="K1104" i="49"/>
  <c r="K1105" i="49"/>
  <c r="K1106" i="49"/>
  <c r="K1107" i="49"/>
  <c r="K1108" i="49"/>
  <c r="K1109" i="49"/>
  <c r="K1110" i="49"/>
  <c r="K1111" i="49"/>
  <c r="K1112" i="49"/>
  <c r="K1113" i="49"/>
  <c r="K1114" i="49"/>
  <c r="K1115" i="49"/>
  <c r="K1116" i="49"/>
  <c r="K1117" i="49"/>
  <c r="K1118" i="49"/>
  <c r="K1119" i="49"/>
  <c r="K1120" i="49"/>
  <c r="K1121" i="49"/>
  <c r="K1122" i="49"/>
  <c r="K1123" i="49"/>
  <c r="K1124" i="49"/>
  <c r="K1125" i="49"/>
  <c r="K1126" i="49"/>
  <c r="K1127" i="49"/>
  <c r="K1128" i="49"/>
  <c r="K1129" i="49"/>
  <c r="K1130" i="49"/>
  <c r="K1131" i="49"/>
  <c r="K1132" i="49"/>
  <c r="K1133" i="49"/>
  <c r="K1134" i="49"/>
  <c r="K1135" i="49"/>
  <c r="K1136" i="49"/>
  <c r="K1137" i="49"/>
  <c r="K1138" i="49"/>
  <c r="K1139" i="49"/>
  <c r="K1140" i="49"/>
  <c r="K1141" i="49"/>
  <c r="K1142" i="49"/>
  <c r="K1143" i="49"/>
  <c r="K1144" i="49"/>
  <c r="K1145" i="49"/>
  <c r="K1146" i="49"/>
  <c r="K1147" i="49"/>
  <c r="K1148" i="49"/>
  <c r="K1149" i="49"/>
  <c r="K1150" i="49"/>
  <c r="K1151" i="49"/>
  <c r="K1152" i="49"/>
  <c r="K1153" i="49"/>
  <c r="K1154" i="49"/>
  <c r="K1155" i="49"/>
  <c r="K1156" i="49"/>
  <c r="K1157" i="49"/>
  <c r="K1158" i="49"/>
  <c r="K1159" i="49"/>
  <c r="K1160" i="49"/>
  <c r="K1161" i="49"/>
  <c r="K1162" i="49"/>
  <c r="K1163" i="49"/>
  <c r="K1164" i="49"/>
  <c r="K1165" i="49"/>
  <c r="K1166" i="49"/>
  <c r="K1167" i="49"/>
  <c r="K1168" i="49"/>
  <c r="K1169" i="49"/>
  <c r="K1170" i="49"/>
  <c r="K1171" i="49"/>
  <c r="K1172" i="49"/>
  <c r="K1173" i="49"/>
  <c r="K1174" i="49"/>
  <c r="K1175" i="49"/>
  <c r="K1176" i="49"/>
  <c r="K1177" i="49"/>
  <c r="K1178" i="49"/>
  <c r="K1179" i="49"/>
  <c r="K1180" i="49"/>
  <c r="K1181" i="49"/>
  <c r="K1182" i="49"/>
  <c r="K1183" i="49"/>
  <c r="K1184" i="49"/>
  <c r="K1185" i="49"/>
  <c r="K1186" i="49"/>
  <c r="K1187" i="49"/>
  <c r="K1188" i="49"/>
  <c r="K1189" i="49"/>
  <c r="K1190" i="49"/>
  <c r="K1191" i="49"/>
  <c r="K1192" i="49"/>
  <c r="K1193" i="49"/>
  <c r="K1194" i="49"/>
  <c r="K1195" i="49"/>
  <c r="K1196" i="49"/>
  <c r="K1197" i="49"/>
  <c r="K1198" i="49"/>
  <c r="K1199" i="49"/>
  <c r="K1200" i="49"/>
  <c r="K1201" i="49"/>
  <c r="K1202" i="49"/>
  <c r="K1203" i="49"/>
  <c r="K1204" i="49"/>
  <c r="K1205" i="49"/>
  <c r="K1206" i="49"/>
  <c r="K1207" i="49"/>
  <c r="K1208" i="49"/>
  <c r="K1209" i="49"/>
  <c r="K1210" i="49"/>
  <c r="K1211" i="49"/>
  <c r="K1212" i="49"/>
  <c r="K1213" i="49"/>
  <c r="K1214" i="49"/>
  <c r="K1215" i="49"/>
  <c r="K1216" i="49"/>
  <c r="K1217" i="49"/>
  <c r="K1218" i="49"/>
  <c r="K1219" i="49"/>
  <c r="K1220" i="49"/>
  <c r="K1221" i="49"/>
  <c r="K1222" i="49"/>
  <c r="K1223" i="49"/>
  <c r="K1224" i="49"/>
  <c r="K1225" i="49"/>
  <c r="K1226" i="49"/>
  <c r="K1227" i="49"/>
  <c r="K1228" i="49"/>
  <c r="K1229" i="49"/>
  <c r="K1230" i="49"/>
  <c r="K1231" i="49"/>
  <c r="K1232" i="49"/>
  <c r="K1233" i="49"/>
  <c r="K1234" i="49"/>
  <c r="K1235" i="49"/>
  <c r="K1236" i="49"/>
  <c r="K1237" i="49"/>
  <c r="K1238" i="49"/>
  <c r="K1239" i="49"/>
  <c r="K1240" i="49"/>
  <c r="K1241" i="49"/>
  <c r="K1242" i="49"/>
  <c r="K1243" i="49"/>
  <c r="K1244" i="49"/>
  <c r="K1245" i="49"/>
  <c r="K1246" i="49"/>
  <c r="K1247" i="49"/>
  <c r="K1248" i="49"/>
  <c r="K1249" i="49"/>
  <c r="K1250" i="49"/>
  <c r="K1251" i="49"/>
  <c r="K1252" i="49"/>
  <c r="K1253" i="49"/>
  <c r="K1254" i="49"/>
  <c r="K1255" i="49"/>
  <c r="K1256" i="49"/>
  <c r="K1257" i="49"/>
  <c r="K1258" i="49"/>
  <c r="K1259" i="49"/>
  <c r="K1260" i="49"/>
  <c r="K1261" i="49"/>
  <c r="K1262" i="49"/>
  <c r="K1263" i="49"/>
  <c r="K1264" i="49"/>
  <c r="K1265" i="49"/>
  <c r="K1266" i="49"/>
  <c r="K1267" i="49"/>
  <c r="K1268" i="49"/>
  <c r="K1269" i="49"/>
  <c r="K1270" i="49"/>
  <c r="K1271" i="49"/>
  <c r="K1272" i="49"/>
  <c r="K1273" i="49"/>
  <c r="K1274" i="49"/>
  <c r="K1275" i="49"/>
  <c r="K1276" i="49"/>
  <c r="K1277" i="49"/>
  <c r="K1278" i="49"/>
  <c r="K1279" i="49"/>
  <c r="K1280" i="49"/>
  <c r="K1281" i="49"/>
  <c r="K1282" i="49"/>
  <c r="K1283" i="49"/>
  <c r="K1284" i="49"/>
  <c r="K1285" i="49"/>
  <c r="K1286" i="49"/>
  <c r="K1287" i="49"/>
  <c r="K1288" i="49"/>
  <c r="K1289" i="49"/>
  <c r="K1290" i="49"/>
  <c r="K1291" i="49"/>
  <c r="K1292" i="49"/>
  <c r="K1293" i="49"/>
  <c r="K1294" i="49"/>
  <c r="K1295" i="49"/>
  <c r="K1296" i="49"/>
  <c r="K1297" i="49"/>
  <c r="K1298" i="49"/>
  <c r="K1299" i="49"/>
  <c r="K1300" i="49"/>
  <c r="K1301" i="49"/>
  <c r="K1302" i="49"/>
  <c r="K1303" i="49"/>
  <c r="K1304" i="49"/>
  <c r="K1305" i="49"/>
  <c r="K1306" i="49"/>
  <c r="K1307" i="49"/>
  <c r="K1308" i="49"/>
  <c r="K1309" i="49"/>
  <c r="K1310" i="49"/>
  <c r="K1311" i="49"/>
  <c r="K1312" i="49"/>
  <c r="K1313" i="49"/>
  <c r="K1314" i="49"/>
  <c r="K1315" i="49"/>
  <c r="K1316" i="49"/>
  <c r="K1317" i="49"/>
  <c r="K1318" i="49"/>
  <c r="K1319" i="49"/>
  <c r="K1320" i="49"/>
  <c r="K1321" i="49"/>
  <c r="K1322" i="49"/>
  <c r="K1323" i="49"/>
  <c r="K1324" i="49"/>
  <c r="K1325" i="49"/>
  <c r="K1326" i="49"/>
  <c r="K1327" i="49"/>
  <c r="K1328" i="49"/>
  <c r="K1329" i="49"/>
  <c r="K1330" i="49"/>
  <c r="K1331" i="49"/>
  <c r="K1332" i="49"/>
  <c r="K1333" i="49"/>
  <c r="K1334" i="49"/>
  <c r="K1335" i="49"/>
  <c r="K1336" i="49"/>
  <c r="K1337" i="49"/>
  <c r="K1338" i="49"/>
  <c r="K1339" i="49"/>
  <c r="K1340" i="49"/>
  <c r="K1341" i="49"/>
  <c r="K1342" i="49"/>
  <c r="K1343" i="49"/>
  <c r="K1344" i="49"/>
  <c r="K1345" i="49"/>
  <c r="K1346" i="49"/>
  <c r="K1347" i="49"/>
  <c r="K1348" i="49"/>
  <c r="K1349" i="49"/>
  <c r="K1350" i="49"/>
  <c r="K1351" i="49"/>
  <c r="K1352" i="49"/>
  <c r="K1353" i="49"/>
  <c r="K1354" i="49"/>
  <c r="K1355" i="49"/>
  <c r="K1356" i="49"/>
  <c r="K1357" i="49"/>
  <c r="K1358" i="49"/>
  <c r="K1359" i="49"/>
  <c r="K1360" i="49"/>
  <c r="K1361" i="49"/>
  <c r="K1362" i="49"/>
  <c r="K1363" i="49"/>
  <c r="K1364" i="49"/>
  <c r="K1365" i="49"/>
  <c r="K1366" i="49"/>
  <c r="K1367" i="49"/>
  <c r="K1368" i="49"/>
  <c r="K1369" i="49"/>
  <c r="K1370" i="49"/>
  <c r="K1371" i="49"/>
  <c r="K1372" i="49"/>
  <c r="K1373" i="49"/>
  <c r="K1374" i="49"/>
  <c r="K1375" i="49"/>
  <c r="K1376" i="49"/>
  <c r="K1377" i="49"/>
  <c r="K1378" i="49"/>
  <c r="K1379" i="49"/>
  <c r="K1380" i="49"/>
  <c r="K1381" i="49"/>
  <c r="K1382" i="49"/>
  <c r="K1383" i="49"/>
  <c r="K1384" i="49"/>
  <c r="K1385" i="49"/>
  <c r="K1386" i="49"/>
  <c r="K1387" i="49"/>
  <c r="K1388" i="49"/>
  <c r="K1389" i="49"/>
  <c r="K1390" i="49"/>
  <c r="K1391" i="49"/>
  <c r="K1392" i="49"/>
  <c r="K1393" i="49"/>
  <c r="K1394" i="49"/>
  <c r="K1395" i="49"/>
  <c r="K1396" i="49"/>
  <c r="K1397" i="49"/>
  <c r="K1398" i="49"/>
  <c r="K1399" i="49"/>
  <c r="K1400" i="49"/>
  <c r="K1401" i="49"/>
  <c r="K1402" i="49"/>
  <c r="K1403" i="49"/>
  <c r="K1404" i="49"/>
  <c r="K1405" i="49"/>
  <c r="K1406" i="49"/>
  <c r="K1407" i="49"/>
  <c r="K1408" i="49"/>
  <c r="K1409" i="49"/>
  <c r="K1410" i="49"/>
  <c r="K1411" i="49"/>
  <c r="K1412" i="49"/>
  <c r="K1413" i="49"/>
  <c r="K1414" i="49"/>
  <c r="K1415" i="49"/>
  <c r="K1416" i="49"/>
  <c r="K1417" i="49"/>
  <c r="K1418" i="49"/>
  <c r="K1419" i="49"/>
  <c r="K1420" i="49"/>
  <c r="K1421" i="49"/>
  <c r="K1422" i="49"/>
  <c r="K1423" i="49"/>
  <c r="K1424" i="49"/>
  <c r="K1425" i="49"/>
  <c r="K1426" i="49"/>
  <c r="K1427" i="49"/>
  <c r="K1428" i="49"/>
  <c r="K1429" i="49"/>
  <c r="K1430" i="49"/>
  <c r="K1431" i="49"/>
  <c r="K1432" i="49"/>
  <c r="K1433" i="49"/>
  <c r="K1434" i="49"/>
  <c r="K1435" i="49"/>
  <c r="K1436" i="49"/>
  <c r="K1437" i="49"/>
  <c r="K1438" i="49"/>
  <c r="K1439" i="49"/>
  <c r="K1440" i="49"/>
  <c r="K13" i="49"/>
  <c r="B2" i="49" l="1"/>
  <c r="G66" i="2" l="1"/>
  <c r="G9" i="2"/>
  <c r="B2" i="38" l="1"/>
  <c r="B2" i="9" l="1"/>
  <c r="E38" i="2" l="1"/>
  <c r="G35" i="2" l="1"/>
  <c r="E39" i="2"/>
  <c r="G32" i="2"/>
  <c r="B2" i="2"/>
  <c r="X17" i="38" l="1"/>
  <c r="AE17" i="38" s="1"/>
  <c r="E40" i="2"/>
  <c r="E41" i="2" l="1"/>
  <c r="E42" i="2" l="1"/>
  <c r="F14" i="9" l="1"/>
  <c r="E43" i="2"/>
  <c r="G36" i="2" s="1"/>
  <c r="T1449" i="49" l="1"/>
  <c r="T1465" i="49"/>
  <c r="T1450" i="49"/>
  <c r="T1466" i="49"/>
  <c r="T1451" i="49"/>
  <c r="T1467" i="49"/>
  <c r="T1453" i="49"/>
  <c r="T1469" i="49"/>
  <c r="T1441" i="49"/>
  <c r="T1447" i="49"/>
  <c r="T1452" i="49"/>
  <c r="T1468" i="49"/>
  <c r="T1473" i="49"/>
  <c r="T1479" i="49"/>
  <c r="T40" i="50"/>
  <c r="T1454" i="49"/>
  <c r="T1470" i="49"/>
  <c r="T1471" i="49"/>
  <c r="T1456" i="49"/>
  <c r="T1457" i="49"/>
  <c r="T1480" i="49"/>
  <c r="T41" i="50"/>
  <c r="T1455" i="49"/>
  <c r="T1478" i="49"/>
  <c r="T1463" i="49"/>
  <c r="T42" i="50"/>
  <c r="T1472" i="49"/>
  <c r="T1442" i="49"/>
  <c r="T1458" i="49"/>
  <c r="T1474" i="49"/>
  <c r="T1460" i="49"/>
  <c r="T1461" i="49"/>
  <c r="T1446" i="49"/>
  <c r="T1464" i="49"/>
  <c r="T1443" i="49"/>
  <c r="T1459" i="49"/>
  <c r="T1475" i="49"/>
  <c r="T1476" i="49"/>
  <c r="T1477" i="49"/>
  <c r="T1462" i="49"/>
  <c r="T1448" i="49"/>
  <c r="T1444" i="49"/>
  <c r="T1445" i="49"/>
  <c r="T16" i="49"/>
  <c r="T34" i="50"/>
  <c r="T18" i="50"/>
  <c r="T19" i="50"/>
  <c r="T28" i="50"/>
  <c r="T15" i="50"/>
  <c r="T33" i="50"/>
  <c r="T37" i="50"/>
  <c r="T30" i="50"/>
  <c r="T32" i="50"/>
  <c r="T17" i="50"/>
  <c r="T35" i="50"/>
  <c r="T38" i="50"/>
  <c r="T20" i="50"/>
  <c r="T39" i="50"/>
  <c r="T36" i="50"/>
  <c r="T31" i="50"/>
  <c r="T29" i="50"/>
  <c r="T24" i="50"/>
  <c r="T21" i="50"/>
  <c r="T22" i="50"/>
  <c r="T27" i="50"/>
  <c r="T14" i="50"/>
  <c r="T16" i="50"/>
  <c r="T25" i="50"/>
  <c r="T23" i="50"/>
  <c r="T26" i="50"/>
  <c r="T14" i="49"/>
  <c r="T1435" i="49"/>
  <c r="T282" i="49"/>
  <c r="T26" i="49"/>
  <c r="T201" i="49"/>
  <c r="T442" i="49"/>
  <c r="T649" i="49"/>
  <c r="T233" i="49"/>
  <c r="T1414" i="49"/>
  <c r="T681" i="49"/>
  <c r="T809" i="49"/>
  <c r="T1425" i="49"/>
  <c r="T1440" i="49"/>
  <c r="T249" i="49"/>
  <c r="T873" i="49"/>
  <c r="T1177" i="49"/>
  <c r="T730" i="49"/>
  <c r="T1388" i="49"/>
  <c r="T1128" i="49"/>
  <c r="T872" i="49"/>
  <c r="T616" i="49"/>
  <c r="T360" i="49"/>
  <c r="T104" i="49"/>
  <c r="T1191" i="49"/>
  <c r="T935" i="49"/>
  <c r="T679" i="49"/>
  <c r="T423" i="49"/>
  <c r="T167" i="49"/>
  <c r="T1270" i="49"/>
  <c r="T1014" i="49"/>
  <c r="T758" i="49"/>
  <c r="T502" i="49"/>
  <c r="T246" i="49"/>
  <c r="T1349" i="49"/>
  <c r="T1093" i="49"/>
  <c r="T837" i="49"/>
  <c r="T581" i="49"/>
  <c r="T325" i="49"/>
  <c r="T69" i="49"/>
  <c r="T1172" i="49"/>
  <c r="T916" i="49"/>
  <c r="T660" i="49"/>
  <c r="T404" i="49"/>
  <c r="T148" i="49"/>
  <c r="T1187" i="49"/>
  <c r="T931" i="49"/>
  <c r="T675" i="49"/>
  <c r="T419" i="49"/>
  <c r="T163" i="49"/>
  <c r="T1266" i="49"/>
  <c r="T1010" i="49"/>
  <c r="T754" i="49"/>
  <c r="T498" i="49"/>
  <c r="T242" i="49"/>
  <c r="T1345" i="49"/>
  <c r="T1089" i="49"/>
  <c r="T833" i="49"/>
  <c r="T577" i="49"/>
  <c r="T321" i="49"/>
  <c r="T65" i="49"/>
  <c r="T1136" i="49"/>
  <c r="T880" i="49"/>
  <c r="T624" i="49"/>
  <c r="T368" i="49"/>
  <c r="T112" i="49"/>
  <c r="T1103" i="49"/>
  <c r="T847" i="49"/>
  <c r="T591" i="49"/>
  <c r="T335" i="49"/>
  <c r="T79" i="49"/>
  <c r="T1182" i="49"/>
  <c r="T926" i="49"/>
  <c r="T670" i="49"/>
  <c r="T414" i="49"/>
  <c r="T158" i="49"/>
  <c r="T1261" i="49"/>
  <c r="T1005" i="49"/>
  <c r="T749" i="49"/>
  <c r="T493" i="49"/>
  <c r="T237" i="49"/>
  <c r="T1340" i="49"/>
  <c r="T1084" i="49"/>
  <c r="T828" i="49"/>
  <c r="T572" i="49"/>
  <c r="T316" i="49"/>
  <c r="T60" i="49"/>
  <c r="T1434" i="49"/>
  <c r="T266" i="49"/>
  <c r="T1339" i="49"/>
  <c r="T185" i="49"/>
  <c r="T1337" i="49"/>
  <c r="T521" i="49"/>
  <c r="T1415" i="49"/>
  <c r="T1398" i="49"/>
  <c r="T281" i="49"/>
  <c r="T329" i="49"/>
  <c r="T1409" i="49"/>
  <c r="T1424" i="49"/>
  <c r="T1411" i="49"/>
  <c r="T713" i="49"/>
  <c r="T985" i="49"/>
  <c r="T506" i="49"/>
  <c r="T1368" i="49"/>
  <c r="T1112" i="49"/>
  <c r="T856" i="49"/>
  <c r="T600" i="49"/>
  <c r="T344" i="49"/>
  <c r="T88" i="49"/>
  <c r="T1175" i="49"/>
  <c r="T919" i="49"/>
  <c r="T663" i="49"/>
  <c r="T407" i="49"/>
  <c r="T151" i="49"/>
  <c r="T1254" i="49"/>
  <c r="T998" i="49"/>
  <c r="T742" i="49"/>
  <c r="T486" i="49"/>
  <c r="T230" i="49"/>
  <c r="T1333" i="49"/>
  <c r="T1077" i="49"/>
  <c r="T821" i="49"/>
  <c r="T565" i="49"/>
  <c r="T309" i="49"/>
  <c r="T53" i="49"/>
  <c r="T1156" i="49"/>
  <c r="T900" i="49"/>
  <c r="T644" i="49"/>
  <c r="T388" i="49"/>
  <c r="T132" i="49"/>
  <c r="T1171" i="49"/>
  <c r="T915" i="49"/>
  <c r="T659" i="49"/>
  <c r="T403" i="49"/>
  <c r="T147" i="49"/>
  <c r="T1250" i="49"/>
  <c r="T994" i="49"/>
  <c r="T738" i="49"/>
  <c r="T482" i="49"/>
  <c r="T226" i="49"/>
  <c r="T1329" i="49"/>
  <c r="T1073" i="49"/>
  <c r="T817" i="49"/>
  <c r="T561" i="49"/>
  <c r="T305" i="49"/>
  <c r="T49" i="49"/>
  <c r="T1120" i="49"/>
  <c r="T864" i="49"/>
  <c r="T608" i="49"/>
  <c r="T352" i="49"/>
  <c r="T96" i="49"/>
  <c r="T1087" i="49"/>
  <c r="T831" i="49"/>
  <c r="T575" i="49"/>
  <c r="T319" i="49"/>
  <c r="T63" i="49"/>
  <c r="T1166" i="49"/>
  <c r="T910" i="49"/>
  <c r="T654" i="49"/>
  <c r="T398" i="49"/>
  <c r="T142" i="49"/>
  <c r="T1245" i="49"/>
  <c r="T989" i="49"/>
  <c r="T733" i="49"/>
  <c r="T477" i="49"/>
  <c r="T221" i="49"/>
  <c r="T1324" i="49"/>
  <c r="T1068" i="49"/>
  <c r="T812" i="49"/>
  <c r="T556" i="49"/>
  <c r="T300" i="49"/>
  <c r="T44" i="49"/>
  <c r="T1051" i="49"/>
  <c r="T795" i="49"/>
  <c r="T539" i="49"/>
  <c r="T1242" i="49"/>
  <c r="T250" i="49"/>
  <c r="T1274" i="49"/>
  <c r="T169" i="49"/>
  <c r="T1193" i="49"/>
  <c r="T473" i="49"/>
  <c r="T1430" i="49"/>
  <c r="T1429" i="49"/>
  <c r="T1428" i="49"/>
  <c r="T1432" i="49"/>
  <c r="T1393" i="49"/>
  <c r="T1408" i="49"/>
  <c r="T1407" i="49"/>
  <c r="T537" i="49"/>
  <c r="T777" i="49"/>
  <c r="T1433" i="49"/>
  <c r="T1352" i="49"/>
  <c r="T1096" i="49"/>
  <c r="T840" i="49"/>
  <c r="T584" i="49"/>
  <c r="T328" i="49"/>
  <c r="T72" i="49"/>
  <c r="T1159" i="49"/>
  <c r="T903" i="49"/>
  <c r="T647" i="49"/>
  <c r="T391" i="49"/>
  <c r="T135" i="49"/>
  <c r="T1238" i="49"/>
  <c r="T982" i="49"/>
  <c r="T726" i="49"/>
  <c r="T470" i="49"/>
  <c r="T214" i="49"/>
  <c r="T1317" i="49"/>
  <c r="T1061" i="49"/>
  <c r="T805" i="49"/>
  <c r="T549" i="49"/>
  <c r="T293" i="49"/>
  <c r="T37" i="49"/>
  <c r="T1140" i="49"/>
  <c r="T884" i="49"/>
  <c r="T628" i="49"/>
  <c r="T372" i="49"/>
  <c r="T116" i="49"/>
  <c r="T1155" i="49"/>
  <c r="T899" i="49"/>
  <c r="T643" i="49"/>
  <c r="T387" i="49"/>
  <c r="T131" i="49"/>
  <c r="T1234" i="49"/>
  <c r="T978" i="49"/>
  <c r="T722" i="49"/>
  <c r="T466" i="49"/>
  <c r="T210" i="49"/>
  <c r="T1313" i="49"/>
  <c r="T1057" i="49"/>
  <c r="T801" i="49"/>
  <c r="T545" i="49"/>
  <c r="T289" i="49"/>
  <c r="T33" i="49"/>
  <c r="T1104" i="49"/>
  <c r="T848" i="49"/>
  <c r="T592" i="49"/>
  <c r="T336" i="49"/>
  <c r="T80" i="49"/>
  <c r="T1071" i="49"/>
  <c r="T815" i="49"/>
  <c r="T559" i="49"/>
  <c r="T303" i="49"/>
  <c r="T47" i="49"/>
  <c r="T1150" i="49"/>
  <c r="T894" i="49"/>
  <c r="T638" i="49"/>
  <c r="T382" i="49"/>
  <c r="T126" i="49"/>
  <c r="T1229" i="49"/>
  <c r="T973" i="49"/>
  <c r="T717" i="49"/>
  <c r="T461" i="49"/>
  <c r="T205" i="49"/>
  <c r="T1308" i="49"/>
  <c r="T1052" i="49"/>
  <c r="T796" i="49"/>
  <c r="T540" i="49"/>
  <c r="T284" i="49"/>
  <c r="T28" i="49"/>
  <c r="T1035" i="49"/>
  <c r="T779" i="49"/>
  <c r="T523" i="49"/>
  <c r="T1050" i="49"/>
  <c r="T234" i="49"/>
  <c r="T1130" i="49"/>
  <c r="T153" i="49"/>
  <c r="T1017" i="49"/>
  <c r="T393" i="49"/>
  <c r="T1382" i="49"/>
  <c r="T1413" i="49"/>
  <c r="T1395" i="49"/>
  <c r="T1378" i="49"/>
  <c r="T1377" i="49"/>
  <c r="T1392" i="49"/>
  <c r="T1375" i="49"/>
  <c r="T313" i="49"/>
  <c r="T553" i="49"/>
  <c r="T1273" i="49"/>
  <c r="T1336" i="49"/>
  <c r="T1080" i="49"/>
  <c r="T824" i="49"/>
  <c r="T568" i="49"/>
  <c r="T312" i="49"/>
  <c r="T56" i="49"/>
  <c r="T1143" i="49"/>
  <c r="T887" i="49"/>
  <c r="T631" i="49"/>
  <c r="T375" i="49"/>
  <c r="T119" i="49"/>
  <c r="T1222" i="49"/>
  <c r="T966" i="49"/>
  <c r="T710" i="49"/>
  <c r="T454" i="49"/>
  <c r="T198" i="49"/>
  <c r="T1301" i="49"/>
  <c r="T1045" i="49"/>
  <c r="T789" i="49"/>
  <c r="T533" i="49"/>
  <c r="T277" i="49"/>
  <c r="T21" i="49"/>
  <c r="T1124" i="49"/>
  <c r="T868" i="49"/>
  <c r="T612" i="49"/>
  <c r="T356" i="49"/>
  <c r="T100" i="49"/>
  <c r="T1139" i="49"/>
  <c r="T883" i="49"/>
  <c r="T627" i="49"/>
  <c r="T371" i="49"/>
  <c r="T115" i="49"/>
  <c r="T1218" i="49"/>
  <c r="T962" i="49"/>
  <c r="T706" i="49"/>
  <c r="T450" i="49"/>
  <c r="T194" i="49"/>
  <c r="T1297" i="49"/>
  <c r="T1041" i="49"/>
  <c r="T785" i="49"/>
  <c r="T529" i="49"/>
  <c r="T273" i="49"/>
  <c r="T17" i="49"/>
  <c r="T1088" i="49"/>
  <c r="T832" i="49"/>
  <c r="T576" i="49"/>
  <c r="T320" i="49"/>
  <c r="T64" i="49"/>
  <c r="T1055" i="49"/>
  <c r="T799" i="49"/>
  <c r="T543" i="49"/>
  <c r="T287" i="49"/>
  <c r="T31" i="49"/>
  <c r="T1134" i="49"/>
  <c r="T878" i="49"/>
  <c r="T622" i="49"/>
  <c r="T366" i="49"/>
  <c r="T110" i="49"/>
  <c r="T1213" i="49"/>
  <c r="T957" i="49"/>
  <c r="T701" i="49"/>
  <c r="T445" i="49"/>
  <c r="T189" i="49"/>
  <c r="T1292" i="49"/>
  <c r="T1036" i="49"/>
  <c r="T780" i="49"/>
  <c r="T524" i="49"/>
  <c r="T268" i="49"/>
  <c r="T1275" i="49"/>
  <c r="T906" i="49"/>
  <c r="T218" i="49"/>
  <c r="T986" i="49"/>
  <c r="T137" i="49"/>
  <c r="T857" i="49"/>
  <c r="T1431" i="49"/>
  <c r="T1178" i="49"/>
  <c r="T1397" i="49"/>
  <c r="T1379" i="49"/>
  <c r="T1419" i="49"/>
  <c r="T1307" i="49"/>
  <c r="T1376" i="49"/>
  <c r="T1327" i="49"/>
  <c r="T1380" i="49"/>
  <c r="T265" i="49"/>
  <c r="T1097" i="49"/>
  <c r="T1320" i="49"/>
  <c r="T1064" i="49"/>
  <c r="T808" i="49"/>
  <c r="T552" i="49"/>
  <c r="T296" i="49"/>
  <c r="T40" i="49"/>
  <c r="T1127" i="49"/>
  <c r="T871" i="49"/>
  <c r="T615" i="49"/>
  <c r="T359" i="49"/>
  <c r="T103" i="49"/>
  <c r="T1206" i="49"/>
  <c r="T950" i="49"/>
  <c r="T694" i="49"/>
  <c r="T438" i="49"/>
  <c r="T182" i="49"/>
  <c r="T1285" i="49"/>
  <c r="T1029" i="49"/>
  <c r="T773" i="49"/>
  <c r="T517" i="49"/>
  <c r="T261" i="49"/>
  <c r="T1364" i="49"/>
  <c r="T1108" i="49"/>
  <c r="T852" i="49"/>
  <c r="T596" i="49"/>
  <c r="T340" i="49"/>
  <c r="T84" i="49"/>
  <c r="T1123" i="49"/>
  <c r="T867" i="49"/>
  <c r="T611" i="49"/>
  <c r="T355" i="49"/>
  <c r="T99" i="49"/>
  <c r="T1202" i="49"/>
  <c r="T946" i="49"/>
  <c r="T690" i="49"/>
  <c r="T434" i="49"/>
  <c r="T178" i="49"/>
  <c r="T1281" i="49"/>
  <c r="T1025" i="49"/>
  <c r="T769" i="49"/>
  <c r="T513" i="49"/>
  <c r="T257" i="49"/>
  <c r="T1328" i="49"/>
  <c r="T1072" i="49"/>
  <c r="T816" i="49"/>
  <c r="T560" i="49"/>
  <c r="T304" i="49"/>
  <c r="T48" i="49"/>
  <c r="T1039" i="49"/>
  <c r="T783" i="49"/>
  <c r="T527" i="49"/>
  <c r="T271" i="49"/>
  <c r="T1374" i="49"/>
  <c r="T1118" i="49"/>
  <c r="T862" i="49"/>
  <c r="T606" i="49"/>
  <c r="T350" i="49"/>
  <c r="T94" i="49"/>
  <c r="T1197" i="49"/>
  <c r="T941" i="49"/>
  <c r="T685" i="49"/>
  <c r="T429" i="49"/>
  <c r="T762" i="49"/>
  <c r="T202" i="49"/>
  <c r="T794" i="49"/>
  <c r="T121" i="49"/>
  <c r="T665" i="49"/>
  <c r="T1367" i="49"/>
  <c r="T858" i="49"/>
  <c r="T1381" i="49"/>
  <c r="T1363" i="49"/>
  <c r="T1402" i="49"/>
  <c r="T1258" i="49"/>
  <c r="T1360" i="49"/>
  <c r="T1295" i="49"/>
  <c r="T1439" i="49"/>
  <c r="T1412" i="49"/>
  <c r="T937" i="49"/>
  <c r="T1304" i="49"/>
  <c r="T1048" i="49"/>
  <c r="T792" i="49"/>
  <c r="T536" i="49"/>
  <c r="T280" i="49"/>
  <c r="T24" i="49"/>
  <c r="T1111" i="49"/>
  <c r="T855" i="49"/>
  <c r="T599" i="49"/>
  <c r="T343" i="49"/>
  <c r="T87" i="49"/>
  <c r="T1190" i="49"/>
  <c r="T934" i="49"/>
  <c r="T678" i="49"/>
  <c r="T422" i="49"/>
  <c r="T166" i="49"/>
  <c r="T1269" i="49"/>
  <c r="T1013" i="49"/>
  <c r="T757" i="49"/>
  <c r="T501" i="49"/>
  <c r="T245" i="49"/>
  <c r="T1348" i="49"/>
  <c r="T1092" i="49"/>
  <c r="T836" i="49"/>
  <c r="T580" i="49"/>
  <c r="T324" i="49"/>
  <c r="T68" i="49"/>
  <c r="T1107" i="49"/>
  <c r="T851" i="49"/>
  <c r="T595" i="49"/>
  <c r="T339" i="49"/>
  <c r="T83" i="49"/>
  <c r="T1186" i="49"/>
  <c r="T930" i="49"/>
  <c r="T674" i="49"/>
  <c r="T418" i="49"/>
  <c r="T162" i="49"/>
  <c r="T1265" i="49"/>
  <c r="T1009" i="49"/>
  <c r="T753" i="49"/>
  <c r="T497" i="49"/>
  <c r="T241" i="49"/>
  <c r="T1312" i="49"/>
  <c r="T1056" i="49"/>
  <c r="T800" i="49"/>
  <c r="T544" i="49"/>
  <c r="T288" i="49"/>
  <c r="T32" i="49"/>
  <c r="T1023" i="49"/>
  <c r="T767" i="49"/>
  <c r="T511" i="49"/>
  <c r="T255" i="49"/>
  <c r="T1358" i="49"/>
  <c r="T1102" i="49"/>
  <c r="T846" i="49"/>
  <c r="T590" i="49"/>
  <c r="T334" i="49"/>
  <c r="T78" i="49"/>
  <c r="T1181" i="49"/>
  <c r="T650" i="49"/>
  <c r="T186" i="49"/>
  <c r="T570" i="49"/>
  <c r="T105" i="49"/>
  <c r="T505" i="49"/>
  <c r="T1403" i="49"/>
  <c r="T378" i="49"/>
  <c r="T1386" i="49"/>
  <c r="T1347" i="49"/>
  <c r="T1162" i="49"/>
  <c r="T1002" i="49"/>
  <c r="T1344" i="49"/>
  <c r="T1279" i="49"/>
  <c r="T1343" i="49"/>
  <c r="T1427" i="49"/>
  <c r="T793" i="49"/>
  <c r="T1288" i="49"/>
  <c r="T1032" i="49"/>
  <c r="T776" i="49"/>
  <c r="T520" i="49"/>
  <c r="T264" i="49"/>
  <c r="T1351" i="49"/>
  <c r="T1095" i="49"/>
  <c r="T839" i="49"/>
  <c r="T583" i="49"/>
  <c r="T327" i="49"/>
  <c r="T71" i="49"/>
  <c r="T1174" i="49"/>
  <c r="T918" i="49"/>
  <c r="T662" i="49"/>
  <c r="T406" i="49"/>
  <c r="T150" i="49"/>
  <c r="T1253" i="49"/>
  <c r="T997" i="49"/>
  <c r="T741" i="49"/>
  <c r="T485" i="49"/>
  <c r="T229" i="49"/>
  <c r="T1332" i="49"/>
  <c r="T1076" i="49"/>
  <c r="T820" i="49"/>
  <c r="T564" i="49"/>
  <c r="T308" i="49"/>
  <c r="T52" i="49"/>
  <c r="T1091" i="49"/>
  <c r="T835" i="49"/>
  <c r="T579" i="49"/>
  <c r="T323" i="49"/>
  <c r="T67" i="49"/>
  <c r="T1170" i="49"/>
  <c r="T914" i="49"/>
  <c r="T658" i="49"/>
  <c r="T402" i="49"/>
  <c r="T146" i="49"/>
  <c r="T1249" i="49"/>
  <c r="T993" i="49"/>
  <c r="T737" i="49"/>
  <c r="T481" i="49"/>
  <c r="T225" i="49"/>
  <c r="T1296" i="49"/>
  <c r="T1040" i="49"/>
  <c r="T784" i="49"/>
  <c r="T528" i="49"/>
  <c r="T272" i="49"/>
  <c r="T15" i="49"/>
  <c r="T1007" i="49"/>
  <c r="T751" i="49"/>
  <c r="T495" i="49"/>
  <c r="T239" i="49"/>
  <c r="T634" i="49"/>
  <c r="T170" i="49"/>
  <c r="T1417" i="49"/>
  <c r="T89" i="49"/>
  <c r="T377" i="49"/>
  <c r="T1354" i="49"/>
  <c r="T1305" i="49"/>
  <c r="T666" i="49"/>
  <c r="T1331" i="49"/>
  <c r="T922" i="49"/>
  <c r="T746" i="49"/>
  <c r="T1387" i="49"/>
  <c r="T1263" i="49"/>
  <c r="T1422" i="49"/>
  <c r="T1391" i="49"/>
  <c r="T617" i="49"/>
  <c r="T1272" i="49"/>
  <c r="T1016" i="49"/>
  <c r="T760" i="49"/>
  <c r="T504" i="49"/>
  <c r="T248" i="49"/>
  <c r="T1335" i="49"/>
  <c r="T1079" i="49"/>
  <c r="T823" i="49"/>
  <c r="T567" i="49"/>
  <c r="T311" i="49"/>
  <c r="T55" i="49"/>
  <c r="T1158" i="49"/>
  <c r="T902" i="49"/>
  <c r="T646" i="49"/>
  <c r="T390" i="49"/>
  <c r="T134" i="49"/>
  <c r="T1237" i="49"/>
  <c r="T981" i="49"/>
  <c r="T725" i="49"/>
  <c r="T469" i="49"/>
  <c r="T213" i="49"/>
  <c r="T1316" i="49"/>
  <c r="T1060" i="49"/>
  <c r="T804" i="49"/>
  <c r="T548" i="49"/>
  <c r="T292" i="49"/>
  <c r="T36" i="49"/>
  <c r="T1075" i="49"/>
  <c r="T819" i="49"/>
  <c r="T563" i="49"/>
  <c r="T307" i="49"/>
  <c r="T51" i="49"/>
  <c r="T1154" i="49"/>
  <c r="T898" i="49"/>
  <c r="T642" i="49"/>
  <c r="T386" i="49"/>
  <c r="T130" i="49"/>
  <c r="T1233" i="49"/>
  <c r="T977" i="49"/>
  <c r="T721" i="49"/>
  <c r="T465" i="49"/>
  <c r="T209" i="49"/>
  <c r="T1280" i="49"/>
  <c r="T1024" i="49"/>
  <c r="T768" i="49"/>
  <c r="T512" i="49"/>
  <c r="T256" i="49"/>
  <c r="T1247" i="49"/>
  <c r="T991" i="49"/>
  <c r="T735" i="49"/>
  <c r="T479" i="49"/>
  <c r="T223" i="49"/>
  <c r="T1326" i="49"/>
  <c r="T1070" i="49"/>
  <c r="T814" i="49"/>
  <c r="T558" i="49"/>
  <c r="T302" i="49"/>
  <c r="T46" i="49"/>
  <c r="T1149" i="49"/>
  <c r="T618" i="49"/>
  <c r="T154" i="49"/>
  <c r="T1129" i="49"/>
  <c r="T73" i="49"/>
  <c r="T1384" i="49"/>
  <c r="T1114" i="49"/>
  <c r="T1081" i="49"/>
  <c r="T1065" i="49"/>
  <c r="T1315" i="49"/>
  <c r="T682" i="49"/>
  <c r="T426" i="49"/>
  <c r="T1306" i="49"/>
  <c r="T1323" i="49"/>
  <c r="T1406" i="49"/>
  <c r="T1311" i="49"/>
  <c r="T345" i="49"/>
  <c r="T1256" i="49"/>
  <c r="T1000" i="49"/>
  <c r="T744" i="49"/>
  <c r="T488" i="49"/>
  <c r="T232" i="49"/>
  <c r="T1319" i="49"/>
  <c r="T1063" i="49"/>
  <c r="T807" i="49"/>
  <c r="T551" i="49"/>
  <c r="T295" i="49"/>
  <c r="T39" i="49"/>
  <c r="T1142" i="49"/>
  <c r="T886" i="49"/>
  <c r="T630" i="49"/>
  <c r="T374" i="49"/>
  <c r="T118" i="49"/>
  <c r="T1221" i="49"/>
  <c r="T965" i="49"/>
  <c r="T709" i="49"/>
  <c r="T453" i="49"/>
  <c r="T197" i="49"/>
  <c r="T1300" i="49"/>
  <c r="T1044" i="49"/>
  <c r="T788" i="49"/>
  <c r="T532" i="49"/>
  <c r="T276" i="49"/>
  <c r="T20" i="49"/>
  <c r="T1059" i="49"/>
  <c r="T803" i="49"/>
  <c r="T547" i="49"/>
  <c r="T291" i="49"/>
  <c r="T35" i="49"/>
  <c r="T1138" i="49"/>
  <c r="T882" i="49"/>
  <c r="T626" i="49"/>
  <c r="T370" i="49"/>
  <c r="T114" i="49"/>
  <c r="T1217" i="49"/>
  <c r="T961" i="49"/>
  <c r="T705" i="49"/>
  <c r="T449" i="49"/>
  <c r="T193" i="49"/>
  <c r="T1264" i="49"/>
  <c r="T1008" i="49"/>
  <c r="T554" i="49"/>
  <c r="T138" i="49"/>
  <c r="T889" i="49"/>
  <c r="T57" i="49"/>
  <c r="T1210" i="49"/>
  <c r="T890" i="49"/>
  <c r="T921" i="49"/>
  <c r="T425" i="49"/>
  <c r="T1291" i="49"/>
  <c r="T538" i="49"/>
  <c r="T1369" i="49"/>
  <c r="T1146" i="49"/>
  <c r="T1338" i="49"/>
  <c r="T1390" i="49"/>
  <c r="T1438" i="49"/>
  <c r="T1416" i="49"/>
  <c r="T1240" i="49"/>
  <c r="T984" i="49"/>
  <c r="T728" i="49"/>
  <c r="T472" i="49"/>
  <c r="T216" i="49"/>
  <c r="T1303" i="49"/>
  <c r="T1047" i="49"/>
  <c r="T791" i="49"/>
  <c r="T535" i="49"/>
  <c r="T279" i="49"/>
  <c r="T23" i="49"/>
  <c r="T1126" i="49"/>
  <c r="T870" i="49"/>
  <c r="T614" i="49"/>
  <c r="T358" i="49"/>
  <c r="T102" i="49"/>
  <c r="T1205" i="49"/>
  <c r="T949" i="49"/>
  <c r="T693" i="49"/>
  <c r="T437" i="49"/>
  <c r="T181" i="49"/>
  <c r="T1284" i="49"/>
  <c r="T1028" i="49"/>
  <c r="T772" i="49"/>
  <c r="T516" i="49"/>
  <c r="T260" i="49"/>
  <c r="T1299" i="49"/>
  <c r="T1043" i="49"/>
  <c r="T787" i="49"/>
  <c r="T531" i="49"/>
  <c r="T275" i="49"/>
  <c r="T19" i="49"/>
  <c r="T1122" i="49"/>
  <c r="T866" i="49"/>
  <c r="T610" i="49"/>
  <c r="T354" i="49"/>
  <c r="T98" i="49"/>
  <c r="T1201" i="49"/>
  <c r="T945" i="49"/>
  <c r="T689" i="49"/>
  <c r="T433" i="49"/>
  <c r="T177" i="49"/>
  <c r="T1248" i="49"/>
  <c r="T992" i="49"/>
  <c r="T736" i="49"/>
  <c r="T480" i="49"/>
  <c r="T224" i="49"/>
  <c r="T1215" i="49"/>
  <c r="T959" i="49"/>
  <c r="T703" i="49"/>
  <c r="T447" i="49"/>
  <c r="T191" i="49"/>
  <c r="T1294" i="49"/>
  <c r="T1038" i="49"/>
  <c r="T782" i="49"/>
  <c r="T526" i="49"/>
  <c r="T270" i="49"/>
  <c r="T1373" i="49"/>
  <c r="T1117" i="49"/>
  <c r="T861" i="49"/>
  <c r="T605" i="49"/>
  <c r="T349" i="49"/>
  <c r="T93" i="49"/>
  <c r="T1196" i="49"/>
  <c r="T940" i="49"/>
  <c r="T684" i="49"/>
  <c r="T428" i="49"/>
  <c r="T172" i="49"/>
  <c r="T1179" i="49"/>
  <c r="T394" i="49"/>
  <c r="T122" i="49"/>
  <c r="T729" i="49"/>
  <c r="T41" i="49"/>
  <c r="T954" i="49"/>
  <c r="T458" i="49"/>
  <c r="T761" i="49"/>
  <c r="T1194" i="49"/>
  <c r="T1418" i="49"/>
  <c r="T1257" i="49"/>
  <c r="T1161" i="49"/>
  <c r="T970" i="49"/>
  <c r="T1082" i="49"/>
  <c r="T1371" i="49"/>
  <c r="T1437" i="49"/>
  <c r="T1426" i="49"/>
  <c r="T1224" i="49"/>
  <c r="T968" i="49"/>
  <c r="T712" i="49"/>
  <c r="T456" i="49"/>
  <c r="T200" i="49"/>
  <c r="T1287" i="49"/>
  <c r="T1031" i="49"/>
  <c r="T775" i="49"/>
  <c r="T519" i="49"/>
  <c r="T263" i="49"/>
  <c r="T1366" i="49"/>
  <c r="T1110" i="49"/>
  <c r="T854" i="49"/>
  <c r="T598" i="49"/>
  <c r="T342" i="49"/>
  <c r="T86" i="49"/>
  <c r="T1189" i="49"/>
  <c r="T933" i="49"/>
  <c r="T677" i="49"/>
  <c r="T421" i="49"/>
  <c r="T165" i="49"/>
  <c r="T1268" i="49"/>
  <c r="T1012" i="49"/>
  <c r="T756" i="49"/>
  <c r="T500" i="49"/>
  <c r="T244" i="49"/>
  <c r="T1283" i="49"/>
  <c r="T1027" i="49"/>
  <c r="T771" i="49"/>
  <c r="T515" i="49"/>
  <c r="T259" i="49"/>
  <c r="T1362" i="49"/>
  <c r="T1106" i="49"/>
  <c r="T850" i="49"/>
  <c r="T594" i="49"/>
  <c r="T338" i="49"/>
  <c r="T82" i="49"/>
  <c r="T1185" i="49"/>
  <c r="T929" i="49"/>
  <c r="T673" i="49"/>
  <c r="T417" i="49"/>
  <c r="T161" i="49"/>
  <c r="T1232" i="49"/>
  <c r="T976" i="49"/>
  <c r="T720" i="49"/>
  <c r="T464" i="49"/>
  <c r="T208" i="49"/>
  <c r="T1199" i="49"/>
  <c r="T943" i="49"/>
  <c r="T362" i="49"/>
  <c r="T106" i="49"/>
  <c r="T601" i="49"/>
  <c r="T25" i="49"/>
  <c r="T698" i="49"/>
  <c r="T1385" i="49"/>
  <c r="T569" i="49"/>
  <c r="T938" i="49"/>
  <c r="T1226" i="49"/>
  <c r="T969" i="49"/>
  <c r="T905" i="49"/>
  <c r="T778" i="49"/>
  <c r="T826" i="49"/>
  <c r="T1370" i="49"/>
  <c r="T1421" i="49"/>
  <c r="T1423" i="49"/>
  <c r="T1208" i="49"/>
  <c r="T952" i="49"/>
  <c r="T696" i="49"/>
  <c r="T440" i="49"/>
  <c r="T184" i="49"/>
  <c r="T1271" i="49"/>
  <c r="T1015" i="49"/>
  <c r="T759" i="49"/>
  <c r="T503" i="49"/>
  <c r="T247" i="49"/>
  <c r="T1350" i="49"/>
  <c r="T1094" i="49"/>
  <c r="T838" i="49"/>
  <c r="T582" i="49"/>
  <c r="T326" i="49"/>
  <c r="T70" i="49"/>
  <c r="T1173" i="49"/>
  <c r="T917" i="49"/>
  <c r="T661" i="49"/>
  <c r="T405" i="49"/>
  <c r="T149" i="49"/>
  <c r="T1252" i="49"/>
  <c r="T996" i="49"/>
  <c r="T740" i="49"/>
  <c r="T484" i="49"/>
  <c r="T228" i="49"/>
  <c r="T1267" i="49"/>
  <c r="T1011" i="49"/>
  <c r="T755" i="49"/>
  <c r="T499" i="49"/>
  <c r="T243" i="49"/>
  <c r="T1346" i="49"/>
  <c r="T1090" i="49"/>
  <c r="T834" i="49"/>
  <c r="T578" i="49"/>
  <c r="T322" i="49"/>
  <c r="T66" i="49"/>
  <c r="T1169" i="49"/>
  <c r="T913" i="49"/>
  <c r="T657" i="49"/>
  <c r="T401" i="49"/>
  <c r="T145" i="49"/>
  <c r="T1216" i="49"/>
  <c r="T960" i="49"/>
  <c r="T704" i="49"/>
  <c r="T448" i="49"/>
  <c r="T192" i="49"/>
  <c r="T1183" i="49"/>
  <c r="T927" i="49"/>
  <c r="T671" i="49"/>
  <c r="T415" i="49"/>
  <c r="T159" i="49"/>
  <c r="T1262" i="49"/>
  <c r="T1006" i="49"/>
  <c r="T346" i="49"/>
  <c r="T90" i="49"/>
  <c r="T489" i="49"/>
  <c r="T1355" i="49"/>
  <c r="T490" i="49"/>
  <c r="T1209" i="49"/>
  <c r="T409" i="49"/>
  <c r="T714" i="49"/>
  <c r="T1034" i="49"/>
  <c r="T697" i="49"/>
  <c r="T633" i="49"/>
  <c r="T586" i="49"/>
  <c r="T410" i="49"/>
  <c r="T1098" i="49"/>
  <c r="T1405" i="49"/>
  <c r="T1359" i="49"/>
  <c r="T1192" i="49"/>
  <c r="T936" i="49"/>
  <c r="T680" i="49"/>
  <c r="T424" i="49"/>
  <c r="T168" i="49"/>
  <c r="T1255" i="49"/>
  <c r="T999" i="49"/>
  <c r="T743" i="49"/>
  <c r="T487" i="49"/>
  <c r="T231" i="49"/>
  <c r="T1334" i="49"/>
  <c r="T1078" i="49"/>
  <c r="T822" i="49"/>
  <c r="T566" i="49"/>
  <c r="T310" i="49"/>
  <c r="T54" i="49"/>
  <c r="T1157" i="49"/>
  <c r="T901" i="49"/>
  <c r="T645" i="49"/>
  <c r="T389" i="49"/>
  <c r="T133" i="49"/>
  <c r="T1236" i="49"/>
  <c r="T980" i="49"/>
  <c r="T724" i="49"/>
  <c r="T468" i="49"/>
  <c r="T212" i="49"/>
  <c r="T1251" i="49"/>
  <c r="T995" i="49"/>
  <c r="T739" i="49"/>
  <c r="T483" i="49"/>
  <c r="T227" i="49"/>
  <c r="T1330" i="49"/>
  <c r="T1074" i="49"/>
  <c r="T818" i="49"/>
  <c r="T562" i="49"/>
  <c r="T306" i="49"/>
  <c r="T50" i="49"/>
  <c r="T1153" i="49"/>
  <c r="T897" i="49"/>
  <c r="T641" i="49"/>
  <c r="T385" i="49"/>
  <c r="T129" i="49"/>
  <c r="T1200" i="49"/>
  <c r="T944" i="49"/>
  <c r="T688" i="49"/>
  <c r="T432" i="49"/>
  <c r="T176" i="49"/>
  <c r="T1167" i="49"/>
  <c r="T911" i="49"/>
  <c r="T330" i="49"/>
  <c r="T74" i="49"/>
  <c r="T457" i="49"/>
  <c r="T1322" i="49"/>
  <c r="T1289" i="49"/>
  <c r="T1001" i="49"/>
  <c r="T1400" i="49"/>
  <c r="T522" i="49"/>
  <c r="T842" i="49"/>
  <c r="T297" i="49"/>
  <c r="T217" i="49"/>
  <c r="T1401" i="49"/>
  <c r="T1353" i="49"/>
  <c r="T874" i="49"/>
  <c r="T1389" i="49"/>
  <c r="T1436" i="49"/>
  <c r="T1176" i="49"/>
  <c r="T920" i="49"/>
  <c r="T664" i="49"/>
  <c r="T408" i="49"/>
  <c r="T152" i="49"/>
  <c r="T1239" i="49"/>
  <c r="T983" i="49"/>
  <c r="T727" i="49"/>
  <c r="T471" i="49"/>
  <c r="T215" i="49"/>
  <c r="T1318" i="49"/>
  <c r="T1062" i="49"/>
  <c r="T806" i="49"/>
  <c r="T550" i="49"/>
  <c r="T294" i="49"/>
  <c r="T38" i="49"/>
  <c r="T1141" i="49"/>
  <c r="T885" i="49"/>
  <c r="T629" i="49"/>
  <c r="T373" i="49"/>
  <c r="T117" i="49"/>
  <c r="T1220" i="49"/>
  <c r="T964" i="49"/>
  <c r="T708" i="49"/>
  <c r="T452" i="49"/>
  <c r="T196" i="49"/>
  <c r="T1235" i="49"/>
  <c r="T979" i="49"/>
  <c r="T723" i="49"/>
  <c r="T467" i="49"/>
  <c r="T211" i="49"/>
  <c r="T1314" i="49"/>
  <c r="T1058" i="49"/>
  <c r="T802" i="49"/>
  <c r="T546" i="49"/>
  <c r="T290" i="49"/>
  <c r="T34" i="49"/>
  <c r="T1137" i="49"/>
  <c r="T881" i="49"/>
  <c r="T625" i="49"/>
  <c r="T369" i="49"/>
  <c r="T113" i="49"/>
  <c r="T1184" i="49"/>
  <c r="T928" i="49"/>
  <c r="T672" i="49"/>
  <c r="T416" i="49"/>
  <c r="T160" i="49"/>
  <c r="T1151" i="49"/>
  <c r="T895" i="49"/>
  <c r="T639" i="49"/>
  <c r="T383" i="49"/>
  <c r="T314" i="49"/>
  <c r="T58" i="49"/>
  <c r="T441" i="49"/>
  <c r="T1066" i="49"/>
  <c r="T1049" i="49"/>
  <c r="T825" i="49"/>
  <c r="T1399" i="49"/>
  <c r="T1241" i="49"/>
  <c r="T602" i="49"/>
  <c r="T1396" i="49"/>
  <c r="T1394" i="49"/>
  <c r="T1113" i="49"/>
  <c r="T1225" i="49"/>
  <c r="T474" i="49"/>
  <c r="T1290" i="49"/>
  <c r="T1420" i="49"/>
  <c r="T1160" i="49"/>
  <c r="T904" i="49"/>
  <c r="T648" i="49"/>
  <c r="T392" i="49"/>
  <c r="T136" i="49"/>
  <c r="T1223" i="49"/>
  <c r="T967" i="49"/>
  <c r="T711" i="49"/>
  <c r="T455" i="49"/>
  <c r="T199" i="49"/>
  <c r="T1302" i="49"/>
  <c r="T1046" i="49"/>
  <c r="T790" i="49"/>
  <c r="T534" i="49"/>
  <c r="T278" i="49"/>
  <c r="T22" i="49"/>
  <c r="T1125" i="49"/>
  <c r="T869" i="49"/>
  <c r="T613" i="49"/>
  <c r="T357" i="49"/>
  <c r="T101" i="49"/>
  <c r="T1204" i="49"/>
  <c r="T948" i="49"/>
  <c r="T692" i="49"/>
  <c r="T436" i="49"/>
  <c r="T180" i="49"/>
  <c r="T1219" i="49"/>
  <c r="T963" i="49"/>
  <c r="T707" i="49"/>
  <c r="T451" i="49"/>
  <c r="T195" i="49"/>
  <c r="T1298" i="49"/>
  <c r="T1042" i="49"/>
  <c r="T786" i="49"/>
  <c r="T530" i="49"/>
  <c r="T274" i="49"/>
  <c r="T18" i="49"/>
  <c r="T1121" i="49"/>
  <c r="T865" i="49"/>
  <c r="T609" i="49"/>
  <c r="T353" i="49"/>
  <c r="T97" i="49"/>
  <c r="T1168" i="49"/>
  <c r="T912" i="49"/>
  <c r="T656" i="49"/>
  <c r="T400" i="49"/>
  <c r="T144" i="49"/>
  <c r="T1135" i="49"/>
  <c r="T879" i="49"/>
  <c r="T623" i="49"/>
  <c r="T367" i="49"/>
  <c r="T111" i="49"/>
  <c r="T298" i="49"/>
  <c r="T1144" i="49"/>
  <c r="T1109" i="49"/>
  <c r="T1026" i="49"/>
  <c r="T240" i="49"/>
  <c r="T143" i="49"/>
  <c r="T942" i="49"/>
  <c r="T430" i="49"/>
  <c r="T1277" i="49"/>
  <c r="T797" i="49"/>
  <c r="T365" i="49"/>
  <c r="T1372" i="49"/>
  <c r="T972" i="49"/>
  <c r="T620" i="49"/>
  <c r="T220" i="49"/>
  <c r="T1131" i="49"/>
  <c r="T843" i="49"/>
  <c r="T555" i="49"/>
  <c r="T267" i="49"/>
  <c r="T460" i="49"/>
  <c r="T764" i="49"/>
  <c r="T123" i="49"/>
  <c r="T109" i="49"/>
  <c r="T845" i="49"/>
  <c r="T384" i="49"/>
  <c r="T42" i="49"/>
  <c r="T888" i="49"/>
  <c r="T853" i="49"/>
  <c r="T770" i="49"/>
  <c r="T128" i="49"/>
  <c r="T127" i="49"/>
  <c r="T830" i="49"/>
  <c r="T318" i="49"/>
  <c r="T1165" i="49"/>
  <c r="T781" i="49"/>
  <c r="T333" i="49"/>
  <c r="T1356" i="49"/>
  <c r="T956" i="49"/>
  <c r="T604" i="49"/>
  <c r="T204" i="49"/>
  <c r="T1115" i="49"/>
  <c r="T827" i="49"/>
  <c r="T507" i="49"/>
  <c r="T251" i="49"/>
  <c r="T876" i="49"/>
  <c r="T1019" i="49"/>
  <c r="T187" i="49"/>
  <c r="T253" i="49"/>
  <c r="T1003" i="49"/>
  <c r="T1164" i="49"/>
  <c r="T139" i="49"/>
  <c r="T107" i="49"/>
  <c r="T716" i="49"/>
  <c r="T413" i="49"/>
  <c r="T587" i="49"/>
  <c r="T381" i="49"/>
  <c r="T361" i="49"/>
  <c r="T632" i="49"/>
  <c r="T597" i="49"/>
  <c r="T514" i="49"/>
  <c r="T1231" i="49"/>
  <c r="T95" i="49"/>
  <c r="T798" i="49"/>
  <c r="T286" i="49"/>
  <c r="T1133" i="49"/>
  <c r="T765" i="49"/>
  <c r="T317" i="49"/>
  <c r="T1276" i="49"/>
  <c r="T924" i="49"/>
  <c r="T588" i="49"/>
  <c r="T188" i="49"/>
  <c r="T1099" i="49"/>
  <c r="T811" i="49"/>
  <c r="T491" i="49"/>
  <c r="T235" i="49"/>
  <c r="T219" i="49"/>
  <c r="T1067" i="49"/>
  <c r="T203" i="49"/>
  <c r="T443" i="49"/>
  <c r="T621" i="49"/>
  <c r="T427" i="49"/>
  <c r="T971" i="49"/>
  <c r="T380" i="49"/>
  <c r="T923" i="49"/>
  <c r="T619" i="49"/>
  <c r="T668" i="49"/>
  <c r="T1404" i="49"/>
  <c r="T810" i="49"/>
  <c r="T376" i="49"/>
  <c r="T341" i="49"/>
  <c r="T258" i="49"/>
  <c r="T1119" i="49"/>
  <c r="T1342" i="49"/>
  <c r="T766" i="49"/>
  <c r="T254" i="49"/>
  <c r="T1101" i="49"/>
  <c r="T669" i="49"/>
  <c r="T301" i="49"/>
  <c r="T1260" i="49"/>
  <c r="T908" i="49"/>
  <c r="T508" i="49"/>
  <c r="T156" i="49"/>
  <c r="T1083" i="49"/>
  <c r="T763" i="49"/>
  <c r="T475" i="49"/>
  <c r="T747" i="49"/>
  <c r="T459" i="49"/>
  <c r="T269" i="49"/>
  <c r="T108" i="49"/>
  <c r="T157" i="49"/>
  <c r="T1243" i="49"/>
  <c r="T635" i="49"/>
  <c r="T907" i="49"/>
  <c r="T332" i="49"/>
  <c r="T1365" i="49"/>
  <c r="T841" i="49"/>
  <c r="T120" i="49"/>
  <c r="T85" i="49"/>
  <c r="T1361" i="49"/>
  <c r="T975" i="49"/>
  <c r="T1310" i="49"/>
  <c r="T750" i="49"/>
  <c r="T238" i="49"/>
  <c r="T1085" i="49"/>
  <c r="T653" i="49"/>
  <c r="T285" i="49"/>
  <c r="T1244" i="49"/>
  <c r="T892" i="49"/>
  <c r="T492" i="49"/>
  <c r="T140" i="49"/>
  <c r="T124" i="49"/>
  <c r="T1053" i="49"/>
  <c r="T715" i="49"/>
  <c r="T76" i="49"/>
  <c r="T732" i="49"/>
  <c r="T347" i="49"/>
  <c r="T348" i="49"/>
  <c r="T891" i="49"/>
  <c r="T43" i="49"/>
  <c r="T1293" i="49"/>
  <c r="T27" i="49"/>
  <c r="T585" i="49"/>
  <c r="T1207" i="49"/>
  <c r="T1188" i="49"/>
  <c r="T1105" i="49"/>
  <c r="T863" i="49"/>
  <c r="T1278" i="49"/>
  <c r="T734" i="49"/>
  <c r="T222" i="49"/>
  <c r="T1069" i="49"/>
  <c r="T637" i="49"/>
  <c r="T1228" i="49"/>
  <c r="T476" i="49"/>
  <c r="T731" i="49"/>
  <c r="T860" i="49"/>
  <c r="T171" i="49"/>
  <c r="T412" i="49"/>
  <c r="T1132" i="49"/>
  <c r="T91" i="49"/>
  <c r="T1100" i="49"/>
  <c r="T59" i="49"/>
  <c r="T1163" i="49"/>
  <c r="T988" i="49"/>
  <c r="T571" i="49"/>
  <c r="T1383" i="49"/>
  <c r="T951" i="49"/>
  <c r="T932" i="49"/>
  <c r="T849" i="49"/>
  <c r="T719" i="49"/>
  <c r="T1246" i="49"/>
  <c r="T718" i="49"/>
  <c r="T206" i="49"/>
  <c r="T1212" i="49"/>
  <c r="T125" i="49"/>
  <c r="T77" i="49"/>
  <c r="T45" i="49"/>
  <c r="T636" i="49"/>
  <c r="T953" i="49"/>
  <c r="T695" i="49"/>
  <c r="T676" i="49"/>
  <c r="T593" i="49"/>
  <c r="T687" i="49"/>
  <c r="T1230" i="49"/>
  <c r="T702" i="49"/>
  <c r="T190" i="49"/>
  <c r="T1037" i="49"/>
  <c r="T589" i="49"/>
  <c r="T173" i="49"/>
  <c r="T1180" i="49"/>
  <c r="T844" i="49"/>
  <c r="T444" i="49"/>
  <c r="T92" i="49"/>
  <c r="T987" i="49"/>
  <c r="T699" i="49"/>
  <c r="T411" i="49"/>
  <c r="T155" i="49"/>
  <c r="T683" i="49"/>
  <c r="T379" i="49"/>
  <c r="T363" i="49"/>
  <c r="T364" i="49"/>
  <c r="T1211" i="49"/>
  <c r="T315" i="49"/>
  <c r="T652" i="49"/>
  <c r="T236" i="49"/>
  <c r="T1145" i="49"/>
  <c r="T439" i="49"/>
  <c r="T420" i="49"/>
  <c r="T337" i="49"/>
  <c r="T655" i="49"/>
  <c r="T1214" i="49"/>
  <c r="T686" i="49"/>
  <c r="T174" i="49"/>
  <c r="T1021" i="49"/>
  <c r="T573" i="49"/>
  <c r="T395" i="49"/>
  <c r="T75" i="49"/>
  <c r="T1195" i="49"/>
  <c r="T175" i="49"/>
  <c r="T1410" i="49"/>
  <c r="T183" i="49"/>
  <c r="T164" i="49"/>
  <c r="T81" i="49"/>
  <c r="T607" i="49"/>
  <c r="T1198" i="49"/>
  <c r="T574" i="49"/>
  <c r="T62" i="49"/>
  <c r="T925" i="49"/>
  <c r="T557" i="49"/>
  <c r="T141" i="49"/>
  <c r="T1148" i="49"/>
  <c r="T748" i="49"/>
  <c r="T396" i="49"/>
  <c r="T1259" i="49"/>
  <c r="T955" i="49"/>
  <c r="T667" i="49"/>
  <c r="T651" i="49"/>
  <c r="T1227" i="49"/>
  <c r="T700" i="49"/>
  <c r="T603" i="49"/>
  <c r="T252" i="49"/>
  <c r="T813" i="49"/>
  <c r="T283" i="49"/>
  <c r="T13" i="49"/>
  <c r="T1286" i="49"/>
  <c r="T1203" i="49"/>
  <c r="T1152" i="49"/>
  <c r="T463" i="49"/>
  <c r="T1086" i="49"/>
  <c r="T542" i="49"/>
  <c r="T30" i="49"/>
  <c r="T909" i="49"/>
  <c r="T541" i="49"/>
  <c r="T939" i="49"/>
  <c r="T509" i="49"/>
  <c r="T1004" i="49"/>
  <c r="T29" i="49"/>
  <c r="T745" i="49"/>
  <c r="T1030" i="49"/>
  <c r="T947" i="49"/>
  <c r="T896" i="49"/>
  <c r="T431" i="49"/>
  <c r="T1054" i="49"/>
  <c r="T510" i="49"/>
  <c r="T1357" i="49"/>
  <c r="T893" i="49"/>
  <c r="T525" i="49"/>
  <c r="T1116" i="49"/>
  <c r="T61" i="49"/>
  <c r="T1282" i="49"/>
  <c r="T1033" i="49"/>
  <c r="T774" i="49"/>
  <c r="T691" i="49"/>
  <c r="T752" i="49"/>
  <c r="T399" i="49"/>
  <c r="T1022" i="49"/>
  <c r="T494" i="49"/>
  <c r="T1341" i="49"/>
  <c r="T877" i="49"/>
  <c r="T331" i="49"/>
  <c r="T299" i="49"/>
  <c r="T446" i="49"/>
  <c r="T1321" i="49"/>
  <c r="T518" i="49"/>
  <c r="T435" i="49"/>
  <c r="T640" i="49"/>
  <c r="T351" i="49"/>
  <c r="T990" i="49"/>
  <c r="T478" i="49"/>
  <c r="T1325" i="49"/>
  <c r="T1020" i="49"/>
  <c r="T958" i="49"/>
  <c r="T859" i="49"/>
  <c r="T1018" i="49"/>
  <c r="T262" i="49"/>
  <c r="T179" i="49"/>
  <c r="T496" i="49"/>
  <c r="T207" i="49"/>
  <c r="T974" i="49"/>
  <c r="T462" i="49"/>
  <c r="T1309" i="49"/>
  <c r="T829" i="49"/>
  <c r="T397" i="49"/>
  <c r="T875" i="49"/>
  <c r="T1147" i="49"/>
  <c r="AA20" i="51"/>
  <c r="AH20" i="51" s="1"/>
  <c r="AI20" i="51" s="1"/>
  <c r="AA21" i="51"/>
  <c r="AH21" i="51" s="1"/>
  <c r="AI21" i="51" s="1"/>
  <c r="AA22" i="51"/>
  <c r="AH22" i="51" s="1"/>
  <c r="AI22" i="51" s="1"/>
  <c r="AA23" i="51"/>
  <c r="AH23" i="51" s="1"/>
  <c r="AI23" i="51" s="1"/>
  <c r="AA17" i="51"/>
  <c r="AA18" i="51"/>
  <c r="AI18" i="51" s="1"/>
  <c r="AA19" i="51"/>
  <c r="AH19" i="51" s="1"/>
  <c r="AI19" i="51" s="1"/>
  <c r="X18" i="38"/>
  <c r="AE18" i="38" s="1"/>
  <c r="AF18" i="38" s="1"/>
  <c r="X29" i="38"/>
  <c r="AE29" i="38" s="1"/>
  <c r="AF29" i="38" s="1"/>
  <c r="X40" i="38"/>
  <c r="AE40" i="38" s="1"/>
  <c r="AF40" i="38" s="1"/>
  <c r="X51" i="38"/>
  <c r="AE51" i="38" s="1"/>
  <c r="AF51" i="38" s="1"/>
  <c r="X64" i="38"/>
  <c r="AE64" i="38" s="1"/>
  <c r="AF64" i="38" s="1"/>
  <c r="X81" i="38"/>
  <c r="AE81" i="38" s="1"/>
  <c r="AF81" i="38" s="1"/>
  <c r="X91" i="38"/>
  <c r="AE91" i="38" s="1"/>
  <c r="AF91" i="38" s="1"/>
  <c r="X103" i="38"/>
  <c r="AE103" i="38" s="1"/>
  <c r="AF103" i="38" s="1"/>
  <c r="X19" i="38"/>
  <c r="AE19" i="38" s="1"/>
  <c r="AF19" i="38" s="1"/>
  <c r="X30" i="38"/>
  <c r="AE30" i="38" s="1"/>
  <c r="AF30" i="38" s="1"/>
  <c r="X41" i="38"/>
  <c r="AE41" i="38" s="1"/>
  <c r="AF41" i="38" s="1"/>
  <c r="X52" i="38"/>
  <c r="AE52" i="38" s="1"/>
  <c r="AF52" i="38" s="1"/>
  <c r="X65" i="38"/>
  <c r="AE65" i="38" s="1"/>
  <c r="AF65" i="38" s="1"/>
  <c r="X79" i="38"/>
  <c r="AE79" i="38" s="1"/>
  <c r="AF79" i="38" s="1"/>
  <c r="X93" i="38"/>
  <c r="AE93" i="38" s="1"/>
  <c r="AF93" i="38" s="1"/>
  <c r="X31" i="38"/>
  <c r="AE31" i="38" s="1"/>
  <c r="AF31" i="38" s="1"/>
  <c r="X42" i="38"/>
  <c r="AE42" i="38" s="1"/>
  <c r="AF42" i="38" s="1"/>
  <c r="X54" i="38"/>
  <c r="AE54" i="38" s="1"/>
  <c r="AF54" i="38" s="1"/>
  <c r="X66" i="38"/>
  <c r="AE66" i="38" s="1"/>
  <c r="AF66" i="38" s="1"/>
  <c r="X80" i="38"/>
  <c r="AE80" i="38" s="1"/>
  <c r="AF80" i="38" s="1"/>
  <c r="X94" i="38"/>
  <c r="AE94" i="38" s="1"/>
  <c r="AF94" i="38" s="1"/>
  <c r="X20" i="38"/>
  <c r="AE20" i="38" s="1"/>
  <c r="AF20" i="38" s="1"/>
  <c r="X32" i="38"/>
  <c r="AE32" i="38" s="1"/>
  <c r="AF32" i="38" s="1"/>
  <c r="X43" i="38"/>
  <c r="AE43" i="38" s="1"/>
  <c r="AF43" i="38" s="1"/>
  <c r="X55" i="38"/>
  <c r="AE55" i="38" s="1"/>
  <c r="AF55" i="38" s="1"/>
  <c r="X67" i="38"/>
  <c r="AE67" i="38" s="1"/>
  <c r="AF67" i="38" s="1"/>
  <c r="X82" i="38"/>
  <c r="AE82" i="38" s="1"/>
  <c r="AF82" i="38" s="1"/>
  <c r="X92" i="38"/>
  <c r="AE92" i="38" s="1"/>
  <c r="AF92" i="38" s="1"/>
  <c r="X21" i="38"/>
  <c r="AE21" i="38" s="1"/>
  <c r="AF21" i="38" s="1"/>
  <c r="X33" i="38"/>
  <c r="AE33" i="38" s="1"/>
  <c r="AF33" i="38" s="1"/>
  <c r="X44" i="38"/>
  <c r="AE44" i="38" s="1"/>
  <c r="AF44" i="38" s="1"/>
  <c r="X56" i="38"/>
  <c r="AE56" i="38" s="1"/>
  <c r="AF56" i="38" s="1"/>
  <c r="X68" i="38"/>
  <c r="AE68" i="38" s="1"/>
  <c r="AF68" i="38" s="1"/>
  <c r="X83" i="38"/>
  <c r="AE83" i="38" s="1"/>
  <c r="AF83" i="38" s="1"/>
  <c r="X95" i="38"/>
  <c r="AE95" i="38" s="1"/>
  <c r="AF95" i="38" s="1"/>
  <c r="X22" i="38"/>
  <c r="X34" i="38"/>
  <c r="AE34" i="38" s="1"/>
  <c r="AF34" i="38" s="1"/>
  <c r="X45" i="38"/>
  <c r="AE45" i="38" s="1"/>
  <c r="AF45" i="38" s="1"/>
  <c r="X57" i="38"/>
  <c r="AE57" i="38" s="1"/>
  <c r="AF57" i="38" s="1"/>
  <c r="X69" i="38"/>
  <c r="AE69" i="38" s="1"/>
  <c r="AF69" i="38" s="1"/>
  <c r="X84" i="38"/>
  <c r="AE84" i="38" s="1"/>
  <c r="AF84" i="38" s="1"/>
  <c r="X96" i="38"/>
  <c r="AE96" i="38" s="1"/>
  <c r="AF96" i="38" s="1"/>
  <c r="X23" i="38"/>
  <c r="AE23" i="38" s="1"/>
  <c r="AF23" i="38" s="1"/>
  <c r="X46" i="38"/>
  <c r="AE46" i="38" s="1"/>
  <c r="AF46" i="38" s="1"/>
  <c r="X59" i="38"/>
  <c r="AE59" i="38" s="1"/>
  <c r="AF59" i="38" s="1"/>
  <c r="X70" i="38"/>
  <c r="AE70" i="38" s="1"/>
  <c r="AF70" i="38" s="1"/>
  <c r="X85" i="38"/>
  <c r="AE85" i="38" s="1"/>
  <c r="AF85" i="38" s="1"/>
  <c r="X97" i="38"/>
  <c r="AE97" i="38" s="1"/>
  <c r="AF97" i="38" s="1"/>
  <c r="X24" i="38"/>
  <c r="AE24" i="38" s="1"/>
  <c r="AF24" i="38" s="1"/>
  <c r="X35" i="38"/>
  <c r="AE35" i="38" s="1"/>
  <c r="AF35" i="38" s="1"/>
  <c r="X47" i="38"/>
  <c r="AE47" i="38" s="1"/>
  <c r="AF47" i="38" s="1"/>
  <c r="X71" i="38"/>
  <c r="AE71" i="38" s="1"/>
  <c r="AF71" i="38" s="1"/>
  <c r="X86" i="38"/>
  <c r="AE86" i="38" s="1"/>
  <c r="AF86" i="38" s="1"/>
  <c r="X98" i="38"/>
  <c r="AE98" i="38" s="1"/>
  <c r="AF98" i="38" s="1"/>
  <c r="X25" i="38"/>
  <c r="AE25" i="38" s="1"/>
  <c r="AF25" i="38" s="1"/>
  <c r="X36" i="38"/>
  <c r="AE36" i="38" s="1"/>
  <c r="AF36" i="38" s="1"/>
  <c r="X48" i="38"/>
  <c r="AE48" i="38" s="1"/>
  <c r="AF48" i="38" s="1"/>
  <c r="X60" i="38"/>
  <c r="AE60" i="38" s="1"/>
  <c r="AF60" i="38" s="1"/>
  <c r="X72" i="38"/>
  <c r="AE72" i="38" s="1"/>
  <c r="AF72" i="38" s="1"/>
  <c r="X87" i="38"/>
  <c r="AE87" i="38" s="1"/>
  <c r="AF87" i="38" s="1"/>
  <c r="X99" i="38"/>
  <c r="AE99" i="38" s="1"/>
  <c r="AF99" i="38" s="1"/>
  <c r="X26" i="38"/>
  <c r="AE26" i="38" s="1"/>
  <c r="AF26" i="38" s="1"/>
  <c r="X37" i="38"/>
  <c r="AE37" i="38" s="1"/>
  <c r="AF37" i="38" s="1"/>
  <c r="X49" i="38"/>
  <c r="AE49" i="38" s="1"/>
  <c r="AF49" i="38" s="1"/>
  <c r="X61" i="38"/>
  <c r="AE61" i="38" s="1"/>
  <c r="AF61" i="38" s="1"/>
  <c r="X88" i="38"/>
  <c r="AE88" i="38" s="1"/>
  <c r="AF88" i="38" s="1"/>
  <c r="X100" i="38"/>
  <c r="AE100" i="38" s="1"/>
  <c r="AF100" i="38" s="1"/>
  <c r="X27" i="38"/>
  <c r="AE27" i="38" s="1"/>
  <c r="AF27" i="38" s="1"/>
  <c r="X38" i="38"/>
  <c r="AE38" i="38" s="1"/>
  <c r="AF38" i="38" s="1"/>
  <c r="X50" i="38"/>
  <c r="AE50" i="38" s="1"/>
  <c r="AF50" i="38" s="1"/>
  <c r="X62" i="38"/>
  <c r="AE62" i="38" s="1"/>
  <c r="AF62" i="38" s="1"/>
  <c r="X89" i="38"/>
  <c r="AE89" i="38" s="1"/>
  <c r="AF89" i="38" s="1"/>
  <c r="X101" i="38"/>
  <c r="AE101" i="38" s="1"/>
  <c r="AF101" i="38" s="1"/>
  <c r="X28" i="38"/>
  <c r="AE28" i="38" s="1"/>
  <c r="AF28" i="38" s="1"/>
  <c r="X39" i="38"/>
  <c r="AE39" i="38" s="1"/>
  <c r="AF39" i="38" s="1"/>
  <c r="X53" i="38"/>
  <c r="AE53" i="38" s="1"/>
  <c r="AF53" i="38" s="1"/>
  <c r="X63" i="38"/>
  <c r="AE63" i="38" s="1"/>
  <c r="AF63" i="38" s="1"/>
  <c r="X90" i="38"/>
  <c r="AE90" i="38" s="1"/>
  <c r="AF90" i="38" s="1"/>
  <c r="X102" i="38"/>
  <c r="AE102" i="38" s="1"/>
  <c r="AF102" i="38" s="1"/>
  <c r="E44" i="2"/>
  <c r="AE22" i="38" l="1"/>
  <c r="AF22" i="38" s="1"/>
  <c r="T1481" i="49"/>
  <c r="T43" i="50"/>
  <c r="G10" i="9" s="1"/>
  <c r="AH17" i="51"/>
  <c r="AP19" i="51"/>
  <c r="AR19" i="51"/>
  <c r="AP18" i="51"/>
  <c r="AR18" i="51"/>
  <c r="AP23" i="51"/>
  <c r="AR23" i="51"/>
  <c r="AP22" i="51"/>
  <c r="AR22" i="51"/>
  <c r="AP21" i="51"/>
  <c r="AR21" i="51"/>
  <c r="AP20" i="51"/>
  <c r="AR20" i="51"/>
  <c r="AH44" i="38"/>
  <c r="AH103" i="38"/>
  <c r="AH49" i="38"/>
  <c r="AH84" i="38"/>
  <c r="AH21" i="38"/>
  <c r="AH42" i="38"/>
  <c r="AH91" i="38"/>
  <c r="AJ19" i="51"/>
  <c r="AH66" i="38"/>
  <c r="AH71" i="38"/>
  <c r="AH37" i="38"/>
  <c r="AH89" i="38"/>
  <c r="AH26" i="38"/>
  <c r="AH47" i="38"/>
  <c r="AH69" i="38"/>
  <c r="AH92" i="38"/>
  <c r="AH31" i="38"/>
  <c r="AH81" i="38"/>
  <c r="AJ18" i="51"/>
  <c r="AH86" i="38"/>
  <c r="AH33" i="38"/>
  <c r="AH35" i="38"/>
  <c r="AH57" i="38"/>
  <c r="AH82" i="38"/>
  <c r="AH64" i="38"/>
  <c r="AH96" i="38"/>
  <c r="AH101" i="38"/>
  <c r="AH99" i="38"/>
  <c r="AH62" i="38"/>
  <c r="AH87" i="38"/>
  <c r="AH24" i="38"/>
  <c r="AH45" i="38"/>
  <c r="AH67" i="38"/>
  <c r="AH51" i="38"/>
  <c r="AH19" i="38"/>
  <c r="AH54" i="38"/>
  <c r="AH50" i="38"/>
  <c r="AH72" i="38"/>
  <c r="AH97" i="38"/>
  <c r="AH34" i="38"/>
  <c r="AH55" i="38"/>
  <c r="AH93" i="38"/>
  <c r="AH40" i="38"/>
  <c r="AH61" i="38"/>
  <c r="AH28" i="38"/>
  <c r="AH60" i="38"/>
  <c r="AH85" i="38"/>
  <c r="AH43" i="38"/>
  <c r="AH79" i="38"/>
  <c r="AH29" i="38"/>
  <c r="AJ23" i="51"/>
  <c r="AH23" i="38"/>
  <c r="AH102" i="38"/>
  <c r="AH38" i="38"/>
  <c r="AH90" i="38"/>
  <c r="AH27" i="38"/>
  <c r="AH48" i="38"/>
  <c r="AH70" i="38"/>
  <c r="AH95" i="38"/>
  <c r="AH32" i="38"/>
  <c r="AH65" i="38"/>
  <c r="AH18" i="38"/>
  <c r="AJ22" i="51"/>
  <c r="AJ21" i="51"/>
  <c r="AH36" i="38"/>
  <c r="AH59" i="38"/>
  <c r="AH20" i="38"/>
  <c r="AH63" i="38"/>
  <c r="AH88" i="38"/>
  <c r="AH25" i="38"/>
  <c r="AH46" i="38"/>
  <c r="AH68" i="38"/>
  <c r="AH94" i="38"/>
  <c r="AH41" i="38"/>
  <c r="AJ20" i="51"/>
  <c r="AH39" i="38"/>
  <c r="AH100" i="38"/>
  <c r="AH83" i="38"/>
  <c r="AH52" i="38"/>
  <c r="AH53" i="38"/>
  <c r="AH98" i="38"/>
  <c r="AH56" i="38"/>
  <c r="AH80" i="38"/>
  <c r="AH30" i="38"/>
  <c r="AH22" i="38" l="1"/>
  <c r="AH24" i="51"/>
  <c r="AI17" i="51"/>
  <c r="AP17" i="51" s="1"/>
  <c r="AR17" i="51"/>
  <c r="AJ17" i="51"/>
  <c r="AI24" i="51"/>
  <c r="AJ24" i="51" l="1"/>
  <c r="H10" i="9" s="1"/>
  <c r="I10" i="9" s="1"/>
  <c r="F10" i="9" l="1"/>
  <c r="K10" i="9"/>
  <c r="J10" i="9" l="1"/>
  <c r="AE104" i="38" l="1"/>
  <c r="L17" i="38"/>
  <c r="AD17" i="38"/>
  <c r="AD104" i="38" s="1"/>
  <c r="AF17" i="38" l="1"/>
  <c r="AA58" i="38" l="1" a="1"/>
  <c r="AA58" i="38" s="1"/>
  <c r="AB58" i="38" s="1"/>
  <c r="AC58" i="38" s="1"/>
  <c r="AG58" i="38" s="1"/>
  <c r="AA77" i="38" a="1"/>
  <c r="AA77" i="38" s="1"/>
  <c r="AB77" i="38" s="1"/>
  <c r="AC77" i="38" s="1"/>
  <c r="AA76" i="38" a="1"/>
  <c r="AA76" i="38" s="1"/>
  <c r="AB76" i="38" s="1"/>
  <c r="AC76" i="38" s="1"/>
  <c r="AA74" i="38" a="1"/>
  <c r="AA74" i="38" s="1"/>
  <c r="AB74" i="38" s="1"/>
  <c r="AC74" i="38" s="1"/>
  <c r="AA78" i="38" a="1"/>
  <c r="AA78" i="38" s="1"/>
  <c r="AB78" i="38" s="1"/>
  <c r="AC78" i="38" s="1"/>
  <c r="AA73" i="38" a="1"/>
  <c r="AA73" i="38" s="1"/>
  <c r="AB73" i="38" s="1"/>
  <c r="AC73" i="38" s="1"/>
  <c r="AA75" i="38" a="1"/>
  <c r="AA75" i="38" s="1"/>
  <c r="AB75" i="38" s="1"/>
  <c r="AC75" i="38" s="1"/>
  <c r="AF104" i="38"/>
  <c r="AH17" i="38"/>
  <c r="AH104" i="38" s="1"/>
  <c r="AA67" i="38" a="1"/>
  <c r="AA67" i="38" s="1"/>
  <c r="AB67" i="38" s="1"/>
  <c r="AC67" i="38" s="1"/>
  <c r="AI67" i="38" s="1"/>
  <c r="AA65" i="38" a="1"/>
  <c r="AA65" i="38" s="1"/>
  <c r="AB65" i="38" s="1"/>
  <c r="AC65" i="38" s="1"/>
  <c r="AG65" i="38" s="1"/>
  <c r="AA34" i="38" a="1"/>
  <c r="AA34" i="38" s="1"/>
  <c r="AB34" i="38" s="1"/>
  <c r="AC34" i="38" s="1"/>
  <c r="AG34" i="38" s="1"/>
  <c r="AA20" i="38" a="1"/>
  <c r="AA20" i="38" s="1"/>
  <c r="AB20" i="38" s="1"/>
  <c r="AC20" i="38" s="1"/>
  <c r="AI20" i="38" s="1"/>
  <c r="AA31" i="38" a="1"/>
  <c r="AA31" i="38" s="1"/>
  <c r="AB31" i="38" s="1"/>
  <c r="AC31" i="38" s="1"/>
  <c r="AI31" i="38" s="1"/>
  <c r="AA94" i="38" a="1"/>
  <c r="AA94" i="38" s="1"/>
  <c r="AB94" i="38" s="1"/>
  <c r="AC94" i="38" s="1"/>
  <c r="AI94" i="38" s="1"/>
  <c r="AA26" i="38" a="1"/>
  <c r="AA26" i="38" s="1"/>
  <c r="AB26" i="38" s="1"/>
  <c r="AC26" i="38" s="1"/>
  <c r="AG26" i="38" s="1"/>
  <c r="AA18" i="38" a="1"/>
  <c r="AA18" i="38" s="1"/>
  <c r="AB18" i="38" s="1"/>
  <c r="AC18" i="38" s="1"/>
  <c r="AI18" i="38" s="1"/>
  <c r="AA60" i="38" a="1"/>
  <c r="AA60" i="38" s="1"/>
  <c r="AB60" i="38" s="1"/>
  <c r="AC60" i="38" s="1"/>
  <c r="AG60" i="38" s="1"/>
  <c r="AA36" i="38" a="1"/>
  <c r="AA36" i="38" s="1"/>
  <c r="AB36" i="38" s="1"/>
  <c r="AC36" i="38" s="1"/>
  <c r="AG36" i="38" s="1"/>
  <c r="AA23" i="38" a="1"/>
  <c r="AA23" i="38" s="1"/>
  <c r="AB23" i="38" s="1"/>
  <c r="AC23" i="38" s="1"/>
  <c r="AA49" i="38" a="1"/>
  <c r="AA49" i="38" s="1"/>
  <c r="AB49" i="38" s="1"/>
  <c r="AC49" i="38" s="1"/>
  <c r="AG49" i="38" s="1"/>
  <c r="AA30" i="38" a="1"/>
  <c r="AA30" i="38" s="1"/>
  <c r="AB30" i="38" s="1"/>
  <c r="AC30" i="38" s="1"/>
  <c r="AG30" i="38" s="1"/>
  <c r="AA87" i="38" a="1"/>
  <c r="AA87" i="38" s="1"/>
  <c r="AB87" i="38" s="1"/>
  <c r="AC87" i="38" s="1"/>
  <c r="AG87" i="38" s="1"/>
  <c r="AA44" i="38" a="1"/>
  <c r="AA44" i="38" s="1"/>
  <c r="AB44" i="38" s="1"/>
  <c r="AC44" i="38" s="1"/>
  <c r="AI44" i="38" s="1"/>
  <c r="AA100" i="38" a="1"/>
  <c r="AA100" i="38" s="1"/>
  <c r="AB100" i="38" s="1"/>
  <c r="AC100" i="38" s="1"/>
  <c r="AG100" i="38" s="1"/>
  <c r="AA32" i="38" a="1"/>
  <c r="AA32" i="38" s="1"/>
  <c r="AB32" i="38" s="1"/>
  <c r="AC32" i="38" s="1"/>
  <c r="AG32" i="38" s="1"/>
  <c r="AA62" i="38" a="1"/>
  <c r="AA62" i="38" s="1"/>
  <c r="AB62" i="38" s="1"/>
  <c r="AC62" i="38" s="1"/>
  <c r="AI62" i="38" s="1"/>
  <c r="AA68" i="38" a="1"/>
  <c r="AA68" i="38" s="1"/>
  <c r="AB68" i="38" s="1"/>
  <c r="AC68" i="38" s="1"/>
  <c r="AI68" i="38" s="1"/>
  <c r="AA53" i="38" a="1"/>
  <c r="AA53" i="38" s="1"/>
  <c r="AB53" i="38" s="1"/>
  <c r="AC53" i="38" s="1"/>
  <c r="AI53" i="38" s="1"/>
  <c r="AA55" i="38" a="1"/>
  <c r="AA55" i="38" s="1"/>
  <c r="AB55" i="38" s="1"/>
  <c r="AC55" i="38" s="1"/>
  <c r="AI55" i="38" s="1"/>
  <c r="AA90" i="38" a="1"/>
  <c r="AA90" i="38" s="1"/>
  <c r="AB90" i="38" s="1"/>
  <c r="AC90" i="38" s="1"/>
  <c r="AG90" i="38" s="1"/>
  <c r="AA95" i="38" a="1"/>
  <c r="AA95" i="38" s="1"/>
  <c r="AB95" i="38" s="1"/>
  <c r="AC95" i="38" s="1"/>
  <c r="AI95" i="38" s="1"/>
  <c r="AA57" i="38" a="1"/>
  <c r="AA57" i="38" s="1"/>
  <c r="AB57" i="38" s="1"/>
  <c r="AC57" i="38" s="1"/>
  <c r="AI57" i="38" s="1"/>
  <c r="AA82" i="38" a="1"/>
  <c r="AA82" i="38" s="1"/>
  <c r="AB82" i="38" s="1"/>
  <c r="AC82" i="38" s="1"/>
  <c r="AG82" i="38" s="1"/>
  <c r="AA40" i="38" a="1"/>
  <c r="AA40" i="38" s="1"/>
  <c r="AB40" i="38" s="1"/>
  <c r="AC40" i="38" s="1"/>
  <c r="AI40" i="38" s="1"/>
  <c r="AA70" i="38" a="1"/>
  <c r="AA70" i="38" s="1"/>
  <c r="AB70" i="38" s="1"/>
  <c r="AC70" i="38" s="1"/>
  <c r="AI70" i="38" s="1"/>
  <c r="AA41" i="38" a="1"/>
  <c r="AA41" i="38" s="1"/>
  <c r="AB41" i="38" s="1"/>
  <c r="AC41" i="38" s="1"/>
  <c r="AG41" i="38" s="1"/>
  <c r="AA33" i="38" a="1"/>
  <c r="AA33" i="38" s="1"/>
  <c r="AB33" i="38" s="1"/>
  <c r="AC33" i="38" s="1"/>
  <c r="AI33" i="38" s="1"/>
  <c r="AA37" i="38" a="1"/>
  <c r="AA37" i="38" s="1"/>
  <c r="AB37" i="38" s="1"/>
  <c r="AC37" i="38" s="1"/>
  <c r="AG37" i="38" s="1"/>
  <c r="AA21" i="38" a="1"/>
  <c r="AA21" i="38" s="1"/>
  <c r="AB21" i="38" s="1"/>
  <c r="AC21" i="38" s="1"/>
  <c r="AG21" i="38" s="1"/>
  <c r="AA27" i="38" a="1"/>
  <c r="AA27" i="38" s="1"/>
  <c r="AB27" i="38" s="1"/>
  <c r="AC27" i="38" s="1"/>
  <c r="AI27" i="38" s="1"/>
  <c r="AA56" i="38" a="1"/>
  <c r="AA56" i="38" s="1"/>
  <c r="AB56" i="38" s="1"/>
  <c r="AC56" i="38" s="1"/>
  <c r="AG56" i="38" s="1"/>
  <c r="AA61" i="38" a="1"/>
  <c r="AA61" i="38" s="1"/>
  <c r="AB61" i="38" s="1"/>
  <c r="AC61" i="38" s="1"/>
  <c r="AG61" i="38" s="1"/>
  <c r="AA45" i="38" a="1"/>
  <c r="AA45" i="38" s="1"/>
  <c r="AB45" i="38" s="1"/>
  <c r="AC45" i="38" s="1"/>
  <c r="AI45" i="38" s="1"/>
  <c r="AA50" i="38" a="1"/>
  <c r="AA50" i="38" s="1"/>
  <c r="AB50" i="38" s="1"/>
  <c r="AC50" i="38" s="1"/>
  <c r="AG50" i="38" s="1"/>
  <c r="AA84" i="38" a="1"/>
  <c r="AA84" i="38" s="1"/>
  <c r="AB84" i="38" s="1"/>
  <c r="AC84" i="38" s="1"/>
  <c r="AI84" i="38" s="1"/>
  <c r="AA88" i="38" a="1"/>
  <c r="AA88" i="38" s="1"/>
  <c r="AB88" i="38" s="1"/>
  <c r="AC88" i="38" s="1"/>
  <c r="AG88" i="38" s="1"/>
  <c r="AA69" i="38" a="1"/>
  <c r="AA69" i="38" s="1"/>
  <c r="AB69" i="38" s="1"/>
  <c r="AC69" i="38" s="1"/>
  <c r="AG69" i="38" s="1"/>
  <c r="AA89" i="38" a="1"/>
  <c r="AA89" i="38" s="1"/>
  <c r="AB89" i="38" s="1"/>
  <c r="AC89" i="38" s="1"/>
  <c r="AI89" i="38" s="1"/>
  <c r="AA96" i="38" a="1"/>
  <c r="AA96" i="38" s="1"/>
  <c r="AB96" i="38" s="1"/>
  <c r="AC96" i="38" s="1"/>
  <c r="AG96" i="38" s="1"/>
  <c r="AA101" i="38" a="1"/>
  <c r="AA101" i="38" s="1"/>
  <c r="AB101" i="38" s="1"/>
  <c r="AC101" i="38" s="1"/>
  <c r="AG101" i="38" s="1"/>
  <c r="AA59" i="38" a="1"/>
  <c r="AA59" i="38" s="1"/>
  <c r="AB59" i="38" s="1"/>
  <c r="AC59" i="38" s="1"/>
  <c r="AG59" i="38" s="1"/>
  <c r="AA63" i="38" a="1"/>
  <c r="AA63" i="38" s="1"/>
  <c r="AB63" i="38" s="1"/>
  <c r="AC63" i="38" s="1"/>
  <c r="AG63" i="38" s="1"/>
  <c r="AA46" i="38" a="1"/>
  <c r="AA46" i="38" s="1"/>
  <c r="AB46" i="38" s="1"/>
  <c r="AC46" i="38" s="1"/>
  <c r="AG46" i="38" s="1"/>
  <c r="AA54" i="38" a="1"/>
  <c r="AA54" i="38" s="1"/>
  <c r="AB54" i="38" s="1"/>
  <c r="AC54" i="38" s="1"/>
  <c r="AG54" i="38" s="1"/>
  <c r="AA85" i="38" a="1"/>
  <c r="AA85" i="38" s="1"/>
  <c r="AB85" i="38" s="1"/>
  <c r="AC85" i="38" s="1"/>
  <c r="AG85" i="38" s="1"/>
  <c r="AA64" i="38" a="1"/>
  <c r="AA64" i="38" s="1"/>
  <c r="AB64" i="38" s="1"/>
  <c r="AC64" i="38" s="1"/>
  <c r="AI64" i="38" s="1"/>
  <c r="AA24" i="38" a="1"/>
  <c r="AA24" i="38" s="1"/>
  <c r="AB24" i="38" s="1"/>
  <c r="AC24" i="38" s="1"/>
  <c r="AI24" i="38" s="1"/>
  <c r="AA17" i="38" a="1"/>
  <c r="AA17" i="38" s="1"/>
  <c r="AB17" i="38" s="1"/>
  <c r="AC17" i="38" s="1"/>
  <c r="AG17" i="38" s="1"/>
  <c r="AA35" i="38" a="1"/>
  <c r="AA35" i="38" s="1"/>
  <c r="AB35" i="38" s="1"/>
  <c r="AC35" i="38" s="1"/>
  <c r="AI35" i="38" s="1"/>
  <c r="AA38" i="38" a="1"/>
  <c r="AA38" i="38" s="1"/>
  <c r="AB38" i="38" s="1"/>
  <c r="AC38" i="38" s="1"/>
  <c r="AI38" i="38" s="1"/>
  <c r="AA47" i="38" a="1"/>
  <c r="AA47" i="38" s="1"/>
  <c r="AB47" i="38" s="1"/>
  <c r="AC47" i="38" s="1"/>
  <c r="AI47" i="38" s="1"/>
  <c r="AA28" i="38" a="1"/>
  <c r="AA28" i="38" s="1"/>
  <c r="AB28" i="38" s="1"/>
  <c r="AC28" i="38" s="1"/>
  <c r="AG28" i="38" s="1"/>
  <c r="AA39" i="38" a="1"/>
  <c r="AA39" i="38" s="1"/>
  <c r="AB39" i="38" s="1"/>
  <c r="AC39" i="38" s="1"/>
  <c r="AI39" i="38" s="1"/>
  <c r="AA71" i="38" a="1"/>
  <c r="AA71" i="38" s="1"/>
  <c r="AB71" i="38" s="1"/>
  <c r="AC71" i="38" s="1"/>
  <c r="AG71" i="38" s="1"/>
  <c r="AA51" i="38" a="1"/>
  <c r="AA51" i="38" s="1"/>
  <c r="AB51" i="38" s="1"/>
  <c r="AC51" i="38" s="1"/>
  <c r="AG51" i="38" s="1"/>
  <c r="AA19" i="38" a="1"/>
  <c r="AA19" i="38" s="1"/>
  <c r="AB19" i="38" s="1"/>
  <c r="AC19" i="38" s="1"/>
  <c r="AI19" i="38" s="1"/>
  <c r="AA98" i="38" a="1"/>
  <c r="AA98" i="38" s="1"/>
  <c r="AB98" i="38" s="1"/>
  <c r="AC98" i="38" s="1"/>
  <c r="AG98" i="38" s="1"/>
  <c r="AA93" i="38" a="1"/>
  <c r="AA93" i="38" s="1"/>
  <c r="AB93" i="38" s="1"/>
  <c r="AC93" i="38" s="1"/>
  <c r="AI93" i="38" s="1"/>
  <c r="AA42" i="38" a="1"/>
  <c r="AA42" i="38" s="1"/>
  <c r="AB42" i="38" s="1"/>
  <c r="AC42" i="38" s="1"/>
  <c r="AI42" i="38" s="1"/>
  <c r="AA83" i="38" a="1"/>
  <c r="AA83" i="38" s="1"/>
  <c r="AB83" i="38" s="1"/>
  <c r="AC83" i="38" s="1"/>
  <c r="AI83" i="38" s="1"/>
  <c r="AA102" i="38" a="1"/>
  <c r="AA102" i="38" s="1"/>
  <c r="AB102" i="38" s="1"/>
  <c r="AC102" i="38" s="1"/>
  <c r="AI102" i="38" s="1"/>
  <c r="AA25" i="38" a="1"/>
  <c r="AA25" i="38" s="1"/>
  <c r="AB25" i="38" s="1"/>
  <c r="AC25" i="38" s="1"/>
  <c r="AG25" i="38" s="1"/>
  <c r="AA66" i="38" a="1"/>
  <c r="AA66" i="38" s="1"/>
  <c r="AB66" i="38" s="1"/>
  <c r="AC66" i="38" s="1"/>
  <c r="AG66" i="38" s="1"/>
  <c r="AA91" i="38" a="1"/>
  <c r="AA91" i="38" s="1"/>
  <c r="AB91" i="38" s="1"/>
  <c r="AC91" i="38" s="1"/>
  <c r="AG91" i="38" s="1"/>
  <c r="AA81" i="38" a="1"/>
  <c r="AA81" i="38" s="1"/>
  <c r="AB81" i="38" s="1"/>
  <c r="AC81" i="38" s="1"/>
  <c r="AG81" i="38" s="1"/>
  <c r="AA86" i="38" a="1"/>
  <c r="AA86" i="38" s="1"/>
  <c r="AB86" i="38" s="1"/>
  <c r="AC86" i="38" s="1"/>
  <c r="AG86" i="38" s="1"/>
  <c r="AA97" i="38" a="1"/>
  <c r="AA97" i="38" s="1"/>
  <c r="AB97" i="38" s="1"/>
  <c r="AC97" i="38" s="1"/>
  <c r="AG97" i="38" s="1"/>
  <c r="AA48" i="38" a="1"/>
  <c r="AA48" i="38" s="1"/>
  <c r="AB48" i="38" s="1"/>
  <c r="AC48" i="38" s="1"/>
  <c r="AG48" i="38" s="1"/>
  <c r="AA29" i="38" a="1"/>
  <c r="AA29" i="38" s="1"/>
  <c r="AB29" i="38" s="1"/>
  <c r="AC29" i="38" s="1"/>
  <c r="AI29" i="38" s="1"/>
  <c r="AA43" i="38" a="1"/>
  <c r="AA43" i="38" s="1"/>
  <c r="AB43" i="38" s="1"/>
  <c r="AC43" i="38" s="1"/>
  <c r="AI43" i="38" s="1"/>
  <c r="AA92" i="38" a="1"/>
  <c r="AA92" i="38" s="1"/>
  <c r="AB92" i="38" s="1"/>
  <c r="AC92" i="38" s="1"/>
  <c r="AI92" i="38" s="1"/>
  <c r="AA72" i="38" a="1"/>
  <c r="AA72" i="38" s="1"/>
  <c r="AB72" i="38" s="1"/>
  <c r="AC72" i="38" s="1"/>
  <c r="AI72" i="38" s="1"/>
  <c r="AA52" i="38" a="1"/>
  <c r="AA52" i="38" s="1"/>
  <c r="AB52" i="38" s="1"/>
  <c r="AC52" i="38" s="1"/>
  <c r="AG52" i="38" s="1"/>
  <c r="AA80" i="38" a="1"/>
  <c r="AA80" i="38" s="1"/>
  <c r="AB80" i="38" s="1"/>
  <c r="AC80" i="38" s="1"/>
  <c r="AG80" i="38" s="1"/>
  <c r="AA99" i="38" a="1"/>
  <c r="AA99" i="38" s="1"/>
  <c r="AB99" i="38" s="1"/>
  <c r="AC99" i="38" s="1"/>
  <c r="AG99" i="38" s="1"/>
  <c r="AA79" i="38" a="1"/>
  <c r="AA79" i="38" s="1"/>
  <c r="AB79" i="38" s="1"/>
  <c r="AC79" i="38" s="1"/>
  <c r="AI79" i="38" s="1"/>
  <c r="AA103" i="38" a="1"/>
  <c r="AA103" i="38" s="1"/>
  <c r="AB103" i="38" s="1"/>
  <c r="AC103" i="38" s="1"/>
  <c r="AG103" i="38" s="1"/>
  <c r="AA22" i="38" a="1"/>
  <c r="AA22" i="38" s="1"/>
  <c r="AB22" i="38" s="1"/>
  <c r="AC22" i="38" s="1"/>
  <c r="AI22" i="38" s="1"/>
  <c r="AI82" i="38" l="1"/>
  <c r="AG57" i="38"/>
  <c r="AI34" i="38"/>
  <c r="AG55" i="38"/>
  <c r="AG67" i="38"/>
  <c r="AI58" i="38"/>
  <c r="AI65" i="38"/>
  <c r="AI75" i="38"/>
  <c r="AG75" i="38"/>
  <c r="AG73" i="38"/>
  <c r="AI73" i="38"/>
  <c r="AI78" i="38"/>
  <c r="AG78" i="38"/>
  <c r="AI74" i="38"/>
  <c r="AG74" i="38"/>
  <c r="AG20" i="38"/>
  <c r="AG76" i="38"/>
  <c r="AI76" i="38"/>
  <c r="AG77" i="38"/>
  <c r="AI77" i="38"/>
  <c r="AG18" i="38"/>
  <c r="AG94" i="38"/>
  <c r="AI59" i="38"/>
  <c r="AI41" i="38"/>
  <c r="AG31" i="38"/>
  <c r="AI49" i="38"/>
  <c r="AG84" i="38"/>
  <c r="AI88" i="38"/>
  <c r="AI21" i="38"/>
  <c r="AI50" i="38"/>
  <c r="AG70" i="38"/>
  <c r="AI32" i="38"/>
  <c r="AG33" i="38"/>
  <c r="AI100" i="38"/>
  <c r="AI69" i="38"/>
  <c r="AI87" i="38"/>
  <c r="AG44" i="38"/>
  <c r="AI30" i="38"/>
  <c r="AG45" i="38"/>
  <c r="AG40" i="38"/>
  <c r="AG62" i="38"/>
  <c r="AG89" i="38"/>
  <c r="AI26" i="38"/>
  <c r="AI36" i="38"/>
  <c r="AI61" i="38"/>
  <c r="AI37" i="38"/>
  <c r="AG47" i="38"/>
  <c r="AG35" i="38"/>
  <c r="AI56" i="38"/>
  <c r="AG38" i="38"/>
  <c r="AI54" i="38"/>
  <c r="AI85" i="38"/>
  <c r="AG53" i="38"/>
  <c r="AG102" i="38"/>
  <c r="AI96" i="38"/>
  <c r="AI101" i="38"/>
  <c r="AG24" i="38"/>
  <c r="AG68" i="38"/>
  <c r="AI66" i="38"/>
  <c r="AI28" i="38"/>
  <c r="AG27" i="38"/>
  <c r="AI60" i="38"/>
  <c r="AI25" i="38"/>
  <c r="AI17" i="38"/>
  <c r="AG19" i="38"/>
  <c r="AG64" i="38"/>
  <c r="AG93" i="38"/>
  <c r="AG95" i="38"/>
  <c r="AG29" i="38"/>
  <c r="AI86" i="38"/>
  <c r="AI46" i="38"/>
  <c r="AG43" i="38"/>
  <c r="AI98" i="38"/>
  <c r="AI51" i="38"/>
  <c r="AI71" i="38"/>
  <c r="AI52" i="38"/>
  <c r="AG39" i="38"/>
  <c r="AI81" i="38"/>
  <c r="AI23" i="38"/>
  <c r="AG23" i="38"/>
  <c r="AG83" i="38"/>
  <c r="AI91" i="38"/>
  <c r="AI63" i="38"/>
  <c r="AI97" i="38"/>
  <c r="AI90" i="38"/>
  <c r="AI99" i="38"/>
  <c r="AG42" i="38"/>
  <c r="AI103" i="38"/>
  <c r="AG79" i="38"/>
  <c r="AG22" i="38"/>
  <c r="AG72" i="38"/>
  <c r="AI48" i="38"/>
  <c r="AI80" i="38"/>
  <c r="AG92" i="38"/>
  <c r="AG104" i="38" l="1"/>
  <c r="H14" i="9" s="1"/>
  <c r="I14" i="9" s="1"/>
  <c r="J14" i="9" s="1"/>
  <c r="AI104" i="38"/>
  <c r="K14" i="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<sst xmlns="http://schemas.openxmlformats.org/spreadsheetml/2006/main" count="6771" uniqueCount="2498">
  <si>
    <t>Version No</t>
  </si>
  <si>
    <t>Date</t>
  </si>
  <si>
    <t>Comments</t>
  </si>
  <si>
    <t>Asset Inputs</t>
  </si>
  <si>
    <r>
      <rPr>
        <sz val="12"/>
        <color theme="1"/>
        <rFont val="Wingdings"/>
        <charset val="2"/>
      </rPr>
      <t>l</t>
    </r>
    <r>
      <rPr>
        <sz val="12"/>
        <color theme="1"/>
        <rFont val="Calibri"/>
        <family val="2"/>
      </rPr>
      <t xml:space="preserve"> </t>
    </r>
    <r>
      <rPr>
        <sz val="12"/>
        <color theme="1"/>
        <rFont val="Century Gothic"/>
        <family val="2"/>
        <scheme val="minor"/>
      </rPr>
      <t xml:space="preserve">Unit Cost of Passive Assets
</t>
    </r>
    <r>
      <rPr>
        <sz val="12"/>
        <color theme="1"/>
        <rFont val="Wingdings"/>
        <charset val="2"/>
      </rPr>
      <t xml:space="preserve">l </t>
    </r>
    <r>
      <rPr>
        <sz val="12"/>
        <color theme="1"/>
        <rFont val="Century Gothic"/>
        <family val="2"/>
        <scheme val="minor"/>
      </rPr>
      <t>Unit Cost of Land</t>
    </r>
  </si>
  <si>
    <t>General Input Sheet</t>
  </si>
  <si>
    <t>General Inputs</t>
  </si>
  <si>
    <t>Base Year</t>
  </si>
  <si>
    <t>YEAR</t>
  </si>
  <si>
    <t>Reference</t>
  </si>
  <si>
    <t>Value</t>
  </si>
  <si>
    <t>Discount Rate (WACC):</t>
  </si>
  <si>
    <t>Average 10 Year Bond Rate</t>
  </si>
  <si>
    <t>Margin</t>
  </si>
  <si>
    <t>WACC:</t>
  </si>
  <si>
    <t xml:space="preserve">Option 1 </t>
  </si>
  <si>
    <t>WACC1</t>
  </si>
  <si>
    <t>Capstr</t>
  </si>
  <si>
    <t>Capital Structure (% Debt)</t>
  </si>
  <si>
    <t>Risk</t>
  </si>
  <si>
    <t>Asset Beta</t>
  </si>
  <si>
    <t>AssetBeta</t>
  </si>
  <si>
    <t>Cost of Debt</t>
  </si>
  <si>
    <t>Debt</t>
  </si>
  <si>
    <t>WACC2</t>
  </si>
  <si>
    <t>Escalation Rates</t>
  </si>
  <si>
    <t>Summary Cash flow Projections</t>
  </si>
  <si>
    <r>
      <rPr>
        <sz val="12"/>
        <color theme="1"/>
        <rFont val="Wingdings"/>
        <charset val="2"/>
      </rPr>
      <t>l</t>
    </r>
    <r>
      <rPr>
        <sz val="12"/>
        <color theme="1"/>
        <rFont val="Calibri"/>
        <family val="2"/>
      </rPr>
      <t xml:space="preserve"> </t>
    </r>
    <r>
      <rPr>
        <sz val="12"/>
        <color theme="1"/>
        <rFont val="Century Gothic"/>
        <family val="2"/>
        <scheme val="minor"/>
      </rPr>
      <t xml:space="preserve">Financial Inputs
</t>
    </r>
    <r>
      <rPr>
        <sz val="12"/>
        <color theme="1"/>
        <rFont val="Wingdings"/>
        <charset val="2"/>
      </rPr>
      <t xml:space="preserve">l </t>
    </r>
    <r>
      <rPr>
        <sz val="12"/>
        <color theme="1"/>
        <rFont val="Century Gothic"/>
        <family val="2"/>
        <scheme val="minor"/>
      </rPr>
      <t>Other "generic" inputs</t>
    </r>
  </si>
  <si>
    <t>ten (10) yr. average Roads and Bridges Index (ABS 6427, Table 15, Index 3101)</t>
  </si>
  <si>
    <t>General Financial Inputs</t>
  </si>
  <si>
    <t>Basic Margin on 10 Yr. Bond Rate</t>
  </si>
  <si>
    <t>Market Risk Premium</t>
  </si>
  <si>
    <t>Asset ID</t>
  </si>
  <si>
    <t>Asset Name</t>
  </si>
  <si>
    <t>Description</t>
  </si>
  <si>
    <t>Baseline Valuation</t>
  </si>
  <si>
    <t>Valuation Year</t>
  </si>
  <si>
    <t>Asset Class</t>
  </si>
  <si>
    <t>Asset Data</t>
  </si>
  <si>
    <t>Catchment No</t>
  </si>
  <si>
    <t>TenYr</t>
  </si>
  <si>
    <t>Totals</t>
  </si>
  <si>
    <t xml:space="preserve"> </t>
  </si>
  <si>
    <t>TOTALS</t>
  </si>
  <si>
    <t>Escalation</t>
  </si>
  <si>
    <t>Discounting</t>
  </si>
  <si>
    <t>Option 2</t>
  </si>
  <si>
    <t>Return to Navigation Pane</t>
  </si>
  <si>
    <t>Yes</t>
  </si>
  <si>
    <t>No</t>
  </si>
  <si>
    <t>DCFTRIGGER</t>
  </si>
  <si>
    <t>WACC Option to be applied in the calculation?</t>
  </si>
  <si>
    <t>Application of Discounted Cash flow</t>
  </si>
  <si>
    <t>Calculate charges using Discounted Cash flow? (Y/N)</t>
  </si>
  <si>
    <t>Catchment</t>
  </si>
  <si>
    <t>TOTAL (A)+ (B)</t>
  </si>
  <si>
    <t>NPV Future (B)</t>
  </si>
  <si>
    <t>Existing (A)</t>
  </si>
  <si>
    <t>Existing (C)</t>
  </si>
  <si>
    <t>NPV Future (D)</t>
  </si>
  <si>
    <t>TOTAL (C)+ (D)</t>
  </si>
  <si>
    <t>Name</t>
  </si>
  <si>
    <t xml:space="preserve"> % of cost which is renewal related</t>
  </si>
  <si>
    <t>Asset Usage</t>
  </si>
  <si>
    <t>Cost Allocation</t>
  </si>
  <si>
    <t>3.5% is the baseline figure quoted in LG Bulletin 06/01</t>
  </si>
  <si>
    <t>Catchment Name</t>
  </si>
  <si>
    <t>Multiplier</t>
  </si>
  <si>
    <t>LGIP ID</t>
  </si>
  <si>
    <t>ID from the LGIP drawings</t>
  </si>
  <si>
    <t>Basic Asset Data</t>
  </si>
  <si>
    <t>Basic Asset Valuation</t>
  </si>
  <si>
    <t>Refined Asset Value</t>
  </si>
  <si>
    <t>Asset Attributes</t>
  </si>
  <si>
    <t>Unit Rate Type (*)</t>
  </si>
  <si>
    <t>Catchment Name (*)</t>
  </si>
  <si>
    <t>Councils ID (from GIS, FAR, AMA etc.)</t>
  </si>
  <si>
    <t>Gross cost (used for CF forecasts)</t>
  </si>
  <si>
    <t>Summary Cost Schedule</t>
  </si>
  <si>
    <r>
      <rPr>
        <sz val="12"/>
        <color theme="1"/>
        <rFont val="Wingdings"/>
        <charset val="2"/>
      </rPr>
      <t>l</t>
    </r>
    <r>
      <rPr>
        <sz val="12"/>
        <color theme="1"/>
        <rFont val="Calibri"/>
        <family val="2"/>
      </rPr>
      <t xml:space="preserve"> Estimates of current and future demand (per cost catchment)</t>
    </r>
  </si>
  <si>
    <t>Calculation Function</t>
  </si>
  <si>
    <t>Inputs</t>
  </si>
  <si>
    <t>Calculation</t>
  </si>
  <si>
    <t>Outputs</t>
  </si>
  <si>
    <r>
      <rPr>
        <sz val="12"/>
        <color theme="1"/>
        <rFont val="Wingdings"/>
        <charset val="2"/>
      </rPr>
      <t>l</t>
    </r>
    <r>
      <rPr>
        <sz val="12"/>
        <color theme="1"/>
        <rFont val="Calibri"/>
        <family val="2"/>
      </rPr>
      <t xml:space="preserve"> Summary of demand and cost allocation by catchment 
</t>
    </r>
    <r>
      <rPr>
        <sz val="12"/>
        <color theme="1"/>
        <rFont val="Wingdings"/>
        <charset val="2"/>
      </rPr>
      <t>l</t>
    </r>
    <r>
      <rPr>
        <sz val="12"/>
        <color theme="1"/>
        <rFont val="Calibri"/>
        <family val="2"/>
      </rPr>
      <t xml:space="preserve"> Final costs by catchment</t>
    </r>
  </si>
  <si>
    <t>Site/Condition</t>
  </si>
  <si>
    <t xml:space="preserve">Adjusted Current Day Value </t>
  </si>
  <si>
    <t>Land Attributes</t>
  </si>
  <si>
    <t>Transport</t>
  </si>
  <si>
    <t>Term (between 15 and 30 years)</t>
  </si>
  <si>
    <t>TERM</t>
  </si>
  <si>
    <t>Location</t>
  </si>
  <si>
    <t xml:space="preserve">Author </t>
  </si>
  <si>
    <t>Gross Value</t>
  </si>
  <si>
    <t>Land Value</t>
  </si>
  <si>
    <t>Length/unit (*)</t>
  </si>
  <si>
    <t>Land Valuation Type</t>
  </si>
  <si>
    <t>Land Location/Type</t>
  </si>
  <si>
    <t>Arterial, Subarterial, Collector</t>
  </si>
  <si>
    <t>EXISTING TRUNK ASSETS</t>
  </si>
  <si>
    <t>Current Replacement Cost</t>
  </si>
  <si>
    <t>DETAILED Forecast Demand Growth Profile (OPTIONAL)</t>
  </si>
  <si>
    <t>May be calculated from unit rates OR unique values can be direct entered</t>
  </si>
  <si>
    <t>Base Est Escalation</t>
  </si>
  <si>
    <t>Catchment Asset Allocation</t>
  </si>
  <si>
    <t>Local Government Infrastructure Plan (LGIP)</t>
  </si>
  <si>
    <t>Brisbane City Council</t>
  </si>
  <si>
    <t>Service Catchment</t>
  </si>
  <si>
    <t xml:space="preserve">Cost of Trunk Infrastrcutrue </t>
  </si>
  <si>
    <t>Cost per Unit Demand (Average)</t>
  </si>
  <si>
    <t>Cost per Unit Demand (Marginal)</t>
  </si>
  <si>
    <t>Catchment based summary of demand, infrastructure (existing and new) and cost allocation
Infrastructure Cost calculation for each catchment
Optional Discounted Cashflow</t>
  </si>
  <si>
    <t>Project Type</t>
  </si>
  <si>
    <t>Citywide</t>
  </si>
  <si>
    <t>Demand (trips)</t>
  </si>
  <si>
    <t>Construction Contingency Cost ($)</t>
  </si>
  <si>
    <t>Grants and Subsidies ($)</t>
  </si>
  <si>
    <t>Pathway</t>
  </si>
  <si>
    <t>BK9001S00164</t>
  </si>
  <si>
    <t>BK9001S00165</t>
  </si>
  <si>
    <t>BK9001S00166</t>
  </si>
  <si>
    <t>BK9001S00167</t>
  </si>
  <si>
    <t>BK9001S00168</t>
  </si>
  <si>
    <t>BK9001S00343</t>
  </si>
  <si>
    <t>BK9001S00344</t>
  </si>
  <si>
    <t>BK9001S00345</t>
  </si>
  <si>
    <t>BK9001S00346</t>
  </si>
  <si>
    <t>BK9001S00347</t>
  </si>
  <si>
    <t>BK9001S00627</t>
  </si>
  <si>
    <t>BK9001S00628</t>
  </si>
  <si>
    <t>BK9001S00629</t>
  </si>
  <si>
    <t>BK9001S00469</t>
  </si>
  <si>
    <t>BK9001S00152</t>
  </si>
  <si>
    <t>BK9001S00090</t>
  </si>
  <si>
    <t>BK9001S00093</t>
  </si>
  <si>
    <t>BK9001S00287</t>
  </si>
  <si>
    <t>BK9001S00543</t>
  </si>
  <si>
    <t>BK9001S00625</t>
  </si>
  <si>
    <t>BK9001S00639</t>
  </si>
  <si>
    <t>BK9001S00576</t>
  </si>
  <si>
    <t>BK9001S00575</t>
  </si>
  <si>
    <t>BK9001S00492</t>
  </si>
  <si>
    <t>BK9001S00073</t>
  </si>
  <si>
    <t>BK9001S00095</t>
  </si>
  <si>
    <t>BK9001S00333</t>
  </si>
  <si>
    <t>BK9001S00567</t>
  </si>
  <si>
    <t>BK9001S00687</t>
  </si>
  <si>
    <t>BK9001S00689</t>
  </si>
  <si>
    <t>BK9001S00692</t>
  </si>
  <si>
    <t>BK9001S00763</t>
  </si>
  <si>
    <t>BK9001S00637</t>
  </si>
  <si>
    <t>BK9001S00087</t>
  </si>
  <si>
    <t>BK9001S00160</t>
  </si>
  <si>
    <t>BK9001S00341</t>
  </si>
  <si>
    <t>BK9001S00162</t>
  </si>
  <si>
    <t>BK9001S00342</t>
  </si>
  <si>
    <t>BK9001S00413</t>
  </si>
  <si>
    <t>BK9001S00427</t>
  </si>
  <si>
    <t>BK9001S00077</t>
  </si>
  <si>
    <t>BK9001S00075</t>
  </si>
  <si>
    <t>BK9001S00272</t>
  </si>
  <si>
    <t>BK9001S00211</t>
  </si>
  <si>
    <t>BK9001S00212</t>
  </si>
  <si>
    <t>BK9001S00092</t>
  </si>
  <si>
    <t>BK9001S00183</t>
  </si>
  <si>
    <t>BK9001S00286</t>
  </si>
  <si>
    <t>BK9001S00359</t>
  </si>
  <si>
    <t>BK9001S00443</t>
  </si>
  <si>
    <t>BK9001S00217</t>
  </si>
  <si>
    <t>BK9001S00179</t>
  </si>
  <si>
    <t>BK9001S00380</t>
  </si>
  <si>
    <t>BK9001S00429</t>
  </si>
  <si>
    <t>BK9001S00216</t>
  </si>
  <si>
    <t>BK9001S00021</t>
  </si>
  <si>
    <t>BK9001S00235</t>
  </si>
  <si>
    <t>BK9001S00386</t>
  </si>
  <si>
    <t>BK9001S00626</t>
  </si>
  <si>
    <t>BK9001S00193</t>
  </si>
  <si>
    <t>BK9001S00194</t>
  </si>
  <si>
    <t>BK9001S00367</t>
  </si>
  <si>
    <t>BK9001S00289</t>
  </si>
  <si>
    <t>BK9001S00129</t>
  </si>
  <si>
    <t>BK9001S00131</t>
  </si>
  <si>
    <t>BK9001S00132</t>
  </si>
  <si>
    <t>BK9001S00133</t>
  </si>
  <si>
    <t>BK9001S00316</t>
  </si>
  <si>
    <t>BK9001S00317</t>
  </si>
  <si>
    <t>BK9001S00318</t>
  </si>
  <si>
    <t>BK9001S00319</t>
  </si>
  <si>
    <t>BK9001S00472</t>
  </si>
  <si>
    <t>BK9001S00569</t>
  </si>
  <si>
    <t>BK9001S00533</t>
  </si>
  <si>
    <t>BK9001S00532</t>
  </si>
  <si>
    <t>BK9001S00571</t>
  </si>
  <si>
    <t>BK9001S00572</t>
  </si>
  <si>
    <t>BK9001S00573</t>
  </si>
  <si>
    <t>BK9001S00442</t>
  </si>
  <si>
    <t>BK9001S00641</t>
  </si>
  <si>
    <t>BK9001S00159</t>
  </si>
  <si>
    <t>BK9001S00340</t>
  </si>
  <si>
    <t>BK9001S00134</t>
  </si>
  <si>
    <t>BK9001S00136</t>
  </si>
  <si>
    <t>BK9001S00139</t>
  </si>
  <si>
    <t>BK9001S00322</t>
  </si>
  <si>
    <t>BK9001S00727</t>
  </si>
  <si>
    <t>BK9001S00634</t>
  </si>
  <si>
    <t>BK9001S00635</t>
  </si>
  <si>
    <t>BK9001S00125</t>
  </si>
  <si>
    <t>BK9001S00126</t>
  </si>
  <si>
    <t>BK9001S00313</t>
  </si>
  <si>
    <t>BK9001S00314</t>
  </si>
  <si>
    <t>BK9001S00128</t>
  </si>
  <si>
    <t>BK9001S00315</t>
  </si>
  <si>
    <t>BK9001S00699</t>
  </si>
  <si>
    <t>BK9001S00700</t>
  </si>
  <si>
    <t>BK9001S00681</t>
  </si>
  <si>
    <t>BK9001S00682</t>
  </si>
  <si>
    <t>BK9001S00698</t>
  </si>
  <si>
    <t>BK9001S00096</t>
  </si>
  <si>
    <t>BK9001S00094</t>
  </si>
  <si>
    <t>BK9001S00630</t>
  </si>
  <si>
    <t>BK9001S00631</t>
  </si>
  <si>
    <t>BK9001S00632</t>
  </si>
  <si>
    <t>BK9002S00208</t>
  </si>
  <si>
    <t>BK9002S00465</t>
  </si>
  <si>
    <t>BK9002S00461</t>
  </si>
  <si>
    <t>BK9002S00462</t>
  </si>
  <si>
    <t>BK9002S00463</t>
  </si>
  <si>
    <t>BK9002S00464</t>
  </si>
  <si>
    <t>BK9002S00164</t>
  </si>
  <si>
    <t>BK9002S00165</t>
  </si>
  <si>
    <t>BK9002S00025</t>
  </si>
  <si>
    <t>BK9002S00053</t>
  </si>
  <si>
    <t>BK9002S00054</t>
  </si>
  <si>
    <t>BK9002S00166</t>
  </si>
  <si>
    <t>BK9002S00167</t>
  </si>
  <si>
    <t>BK9002S00407</t>
  </si>
  <si>
    <t>BK9002S00041</t>
  </si>
  <si>
    <t>BK9002S00292</t>
  </si>
  <si>
    <t>BK9002S00173</t>
  </si>
  <si>
    <t>BK9002S00009</t>
  </si>
  <si>
    <t>BK9002S00227</t>
  </si>
  <si>
    <t>BK9002S00068</t>
  </si>
  <si>
    <t>BK9002S00383</t>
  </si>
  <si>
    <t>BK9002S00280</t>
  </si>
  <si>
    <t>BK9002S00340</t>
  </si>
  <si>
    <t>BK9002S00209</t>
  </si>
  <si>
    <t>BK9002S00252</t>
  </si>
  <si>
    <t>BK9002S00003</t>
  </si>
  <si>
    <t>BK9002S00042</t>
  </si>
  <si>
    <t>BK9002S00161</t>
  </si>
  <si>
    <t>BK9002S00229</t>
  </si>
  <si>
    <t>BK9002S00045</t>
  </si>
  <si>
    <t>BK9002S00160</t>
  </si>
  <si>
    <t>BK9002S00381</t>
  </si>
  <si>
    <t>BK9002S00262</t>
  </si>
  <si>
    <t>BK9002S00346</t>
  </si>
  <si>
    <t>BK9002S00347</t>
  </si>
  <si>
    <t>BK9002S00343</t>
  </si>
  <si>
    <t>BK9002S00345</t>
  </si>
  <si>
    <t>BK9002S00344</t>
  </si>
  <si>
    <t>BK9002S00348</t>
  </si>
  <si>
    <t>BK9002S00452</t>
  </si>
  <si>
    <t>BK9002S00453</t>
  </si>
  <si>
    <t>BK9002S00437</t>
  </si>
  <si>
    <t>BK9002S00301</t>
  </si>
  <si>
    <t>BK9002S00300</t>
  </si>
  <si>
    <t>BK9002S00189</t>
  </si>
  <si>
    <t>BK9002S00408</t>
  </si>
  <si>
    <t>BK9002S00409</t>
  </si>
  <si>
    <t>BK9002S00410</t>
  </si>
  <si>
    <t>BK9002S00411</t>
  </si>
  <si>
    <t>BK9002S00412</t>
  </si>
  <si>
    <t>BK9002S00428</t>
  </si>
  <si>
    <t>BK9002S00434</t>
  </si>
  <si>
    <t>BK9002S00413</t>
  </si>
  <si>
    <t>BK9002S00418</t>
  </si>
  <si>
    <t>BK9002S00419</t>
  </si>
  <si>
    <t>BK9002S00420</t>
  </si>
  <si>
    <t>BK9002S00421</t>
  </si>
  <si>
    <t>BK9002S00422</t>
  </si>
  <si>
    <t>BK9002S00423</t>
  </si>
  <si>
    <t>BK9002S00424</t>
  </si>
  <si>
    <t>BK9002S00425</t>
  </si>
  <si>
    <t>BK9002S00426</t>
  </si>
  <si>
    <t>BK9002S00427</t>
  </si>
  <si>
    <t>BK9002S00028</t>
  </si>
  <si>
    <t>BK9002S00342</t>
  </si>
  <si>
    <t>BK9002S00095</t>
  </si>
  <si>
    <t>BK9002S00196</t>
  </si>
  <si>
    <t>BK9002S00239</t>
  </si>
  <si>
    <t>BK9002S00102</t>
  </si>
  <si>
    <t>BK9002S00324</t>
  </si>
  <si>
    <t>BK9002S00325</t>
  </si>
  <si>
    <t>BK9002S00234</t>
  </si>
  <si>
    <t>BK9002S00179</t>
  </si>
  <si>
    <t>BK9002S00377</t>
  </si>
  <si>
    <t>BK9002S00439</t>
  </si>
  <si>
    <t>BK9002S00438</t>
  </si>
  <si>
    <t>BK9002S00100</t>
  </si>
  <si>
    <t>BK9002S00002</t>
  </si>
  <si>
    <t>BK9002S00131</t>
  </si>
  <si>
    <t>BK9002S00058</t>
  </si>
  <si>
    <t>BK9002S00282</t>
  </si>
  <si>
    <t>BK9002S00283</t>
  </si>
  <si>
    <t>BK9002S00284</t>
  </si>
  <si>
    <t>BK9002S00285</t>
  </si>
  <si>
    <t>BK9002S00286</t>
  </si>
  <si>
    <t>BK9002S00110</t>
  </si>
  <si>
    <t>BK9002S00024</t>
  </si>
  <si>
    <t>BK9002S00433</t>
  </si>
  <si>
    <t>BK9002S00184</t>
  </si>
  <si>
    <t>BK9002S00291</t>
  </si>
  <si>
    <t>BK9002S00431</t>
  </si>
  <si>
    <t>BK9002S00048</t>
  </si>
  <si>
    <t>BK9002S00047</t>
  </si>
  <si>
    <t>BK9002S00163</t>
  </si>
  <si>
    <t>BK9002S00162</t>
  </si>
  <si>
    <t>BK9003S00120</t>
  </si>
  <si>
    <t>BK9003S00121</t>
  </si>
  <si>
    <t>BK9003S00078</t>
  </si>
  <si>
    <t>BK9003S00019</t>
  </si>
  <si>
    <t>BK9003S00106</t>
  </si>
  <si>
    <t>BK9003S00105</t>
  </si>
  <si>
    <t>BK9003S00112</t>
  </si>
  <si>
    <t>BK9003S00039</t>
  </si>
  <si>
    <t>BK9003S00077</t>
  </si>
  <si>
    <t>BK9003S00079</t>
  </si>
  <si>
    <t>BK9003S00089</t>
  </si>
  <si>
    <t>BK9003S00083</t>
  </si>
  <si>
    <t>BK9003S00017</t>
  </si>
  <si>
    <t>BK9003S00193</t>
  </si>
  <si>
    <t>BK9004S00361</t>
  </si>
  <si>
    <t>BK9004S00113</t>
  </si>
  <si>
    <t>BK9004S00114</t>
  </si>
  <si>
    <t>BK9004S00056</t>
  </si>
  <si>
    <t>BK9004S00329</t>
  </si>
  <si>
    <t>BK9004S00057</t>
  </si>
  <si>
    <t>BK9004S00134</t>
  </si>
  <si>
    <t>BK9004S00316</t>
  </si>
  <si>
    <t>BK9004S00303</t>
  </si>
  <si>
    <t>BK9004S00282</t>
  </si>
  <si>
    <t>BK9004S00295</t>
  </si>
  <si>
    <t>BK9004S00161</t>
  </si>
  <si>
    <t>BK9004S00323</t>
  </si>
  <si>
    <t>BK9004S00002</t>
  </si>
  <si>
    <t>BK9004S00003</t>
  </si>
  <si>
    <t>BK9004S00325</t>
  </si>
  <si>
    <t>BK9004S00360</t>
  </si>
  <si>
    <t>BK9005S00323</t>
  </si>
  <si>
    <t>BK9005S00311</t>
  </si>
  <si>
    <t>BK9005S00083</t>
  </si>
  <si>
    <t>BK9005S00287</t>
  </si>
  <si>
    <t>BK9005S00229</t>
  </si>
  <si>
    <t>BK9005S00225</t>
  </si>
  <si>
    <t>BK9005S00231</t>
  </si>
  <si>
    <t>BK9005S00232</t>
  </si>
  <si>
    <t>BK9005S00233</t>
  </si>
  <si>
    <t>BK9005S00096</t>
  </si>
  <si>
    <t>BK9005S00226</t>
  </si>
  <si>
    <t>BK9005S00227</t>
  </si>
  <si>
    <t>BK9005S00228</t>
  </si>
  <si>
    <t>BK9005S00230</t>
  </si>
  <si>
    <t>BK9005S00342</t>
  </si>
  <si>
    <t>BK9005S00006</t>
  </si>
  <si>
    <t>BK9005S00068</t>
  </si>
  <si>
    <t>BK9005S00072</t>
  </si>
  <si>
    <t>BK9005S00144</t>
  </si>
  <si>
    <t>BK9005S00141</t>
  </si>
  <si>
    <t>BK9005S00143</t>
  </si>
  <si>
    <t>BK9005S00069</t>
  </si>
  <si>
    <t>BK9005S00276</t>
  </si>
  <si>
    <t>BK9005S00274</t>
  </si>
  <si>
    <t>BK9005S00275</t>
  </si>
  <si>
    <t>BK9005S00052</t>
  </si>
  <si>
    <t>BK9005S00053</t>
  </si>
  <si>
    <t>BK9005S00128</t>
  </si>
  <si>
    <t>BK9005S00283</t>
  </si>
  <si>
    <t>BK9005S00281</t>
  </si>
  <si>
    <t>BK9005S00282</t>
  </si>
  <si>
    <t>BK9005S00284</t>
  </si>
  <si>
    <t>BK9005S00285</t>
  </si>
  <si>
    <t>BK9005S00030</t>
  </si>
  <si>
    <t>BK9005S00302</t>
  </si>
  <si>
    <t>BK9005S00303</t>
  </si>
  <si>
    <t>BK9005S00304</t>
  </si>
  <si>
    <t>BK9005S00147</t>
  </si>
  <si>
    <t>BK9005S00280</t>
  </si>
  <si>
    <t>BK9005S00279</t>
  </si>
  <si>
    <t>BK9005S00034</t>
  </si>
  <si>
    <t>BK9005S00035</t>
  </si>
  <si>
    <t>BK9005S00118</t>
  </si>
  <si>
    <t>BK9005S00130</t>
  </si>
  <si>
    <t>BK9005S00238</t>
  </si>
  <si>
    <t>BK9005S00240</t>
  </si>
  <si>
    <t>BK9005S00242</t>
  </si>
  <si>
    <t>BK9005S00171</t>
  </si>
  <si>
    <t>BK9005S00243</t>
  </si>
  <si>
    <t>BK9005S00139</t>
  </si>
  <si>
    <t>BK9005S00320</t>
  </si>
  <si>
    <t>BK9005S00321</t>
  </si>
  <si>
    <t>BK9005S00324</t>
  </si>
  <si>
    <t>BK9005S00325</t>
  </si>
  <si>
    <t>BK9005S00326</t>
  </si>
  <si>
    <t>BK9005S00012</t>
  </si>
  <si>
    <t>BK9005S00125</t>
  </si>
  <si>
    <t>BK9005S00235</t>
  </si>
  <si>
    <t>BK9005S00187</t>
  </si>
  <si>
    <t>BK9005S00244</t>
  </si>
  <si>
    <t>BK9005S00306</t>
  </si>
  <si>
    <t>BK9005S00301</t>
  </si>
  <si>
    <t>BK9005S00190</t>
  </si>
  <si>
    <t>BK9005S00024</t>
  </si>
  <si>
    <t>BK9005S00312</t>
  </si>
  <si>
    <t>BK9005S00309</t>
  </si>
  <si>
    <t>BK9005S00310</t>
  </si>
  <si>
    <t>BK9005S00136</t>
  </si>
  <si>
    <t>BK9005S00099</t>
  </si>
  <si>
    <t>BK9005S00007</t>
  </si>
  <si>
    <t>BK9005S00098</t>
  </si>
  <si>
    <t>BK9005S00351</t>
  </si>
  <si>
    <t>BK9005S00093</t>
  </si>
  <si>
    <t>BK9005S00219</t>
  </si>
  <si>
    <t>BK9005S00057</t>
  </si>
  <si>
    <t>BK9005S00236</t>
  </si>
  <si>
    <t>BK9005S00237</t>
  </si>
  <si>
    <t>BK9005S00241</t>
  </si>
  <si>
    <t>BK9005S00055</t>
  </si>
  <si>
    <t>BK9005S00319</t>
  </si>
  <si>
    <t>BK9005S00322</t>
  </si>
  <si>
    <t>BK9006S00410</t>
  </si>
  <si>
    <t>BK9006S00228</t>
  </si>
  <si>
    <t>BK9006S00247</t>
  </si>
  <si>
    <t>BK9006S00248</t>
  </si>
  <si>
    <t>BK9006S00032</t>
  </si>
  <si>
    <t>BK9006S00241</t>
  </si>
  <si>
    <t>BK9006S00385</t>
  </si>
  <si>
    <t>BK9006S00165</t>
  </si>
  <si>
    <t>BK9006S00344</t>
  </si>
  <si>
    <t>BK9006S00409</t>
  </si>
  <si>
    <t>BK9006S00007</t>
  </si>
  <si>
    <t>BK9006S00440</t>
  </si>
  <si>
    <t>BK9006S00411</t>
  </si>
  <si>
    <t>BK9006S00381</t>
  </si>
  <si>
    <t>BK9006S00317</t>
  </si>
  <si>
    <t>BK9006S00283</t>
  </si>
  <si>
    <t>BK9006S00284</t>
  </si>
  <si>
    <t>BK9006S00227</t>
  </si>
  <si>
    <t>BK9007S00201</t>
  </si>
  <si>
    <t>BK9007S00100</t>
  </si>
  <si>
    <t>BK9007S00048</t>
  </si>
  <si>
    <t>BK9007S00114</t>
  </si>
  <si>
    <t>BK9007S00101</t>
  </si>
  <si>
    <t>BK9007S00001</t>
  </si>
  <si>
    <t>BK9007S00135</t>
  </si>
  <si>
    <t>BK9007S00067</t>
  </si>
  <si>
    <t>BK9007S00059</t>
  </si>
  <si>
    <t>BK9007S00015</t>
  </si>
  <si>
    <t>BK9007S00066</t>
  </si>
  <si>
    <t>BK9008S00016</t>
  </si>
  <si>
    <t>BK9008S00069</t>
  </si>
  <si>
    <t>BK9008S00133</t>
  </si>
  <si>
    <t>BK9008S00053</t>
  </si>
  <si>
    <t>BK9008S00054</t>
  </si>
  <si>
    <t>BK9008S00015</t>
  </si>
  <si>
    <t>BK9008S00022</t>
  </si>
  <si>
    <t>BK9008S00113</t>
  </si>
  <si>
    <t>BK9008S00120</t>
  </si>
  <si>
    <t>BK9008S00060</t>
  </si>
  <si>
    <t>BK9008S00059</t>
  </si>
  <si>
    <t>BK9008S00124</t>
  </si>
  <si>
    <t>BK9008S00125</t>
  </si>
  <si>
    <t>BK9008S00126</t>
  </si>
  <si>
    <t>BK9008S00154</t>
  </si>
  <si>
    <t>BK9008S00165</t>
  </si>
  <si>
    <t>BK9008S00166</t>
  </si>
  <si>
    <t>BK9008S00167</t>
  </si>
  <si>
    <t>BK9008S00198</t>
  </si>
  <si>
    <t>BK9008S00242</t>
  </si>
  <si>
    <t>BK9008S00152</t>
  </si>
  <si>
    <t>BK9008S00041</t>
  </si>
  <si>
    <t>BK9008S00102</t>
  </si>
  <si>
    <t>BK9008S00039</t>
  </si>
  <si>
    <t>BK9008S00040</t>
  </si>
  <si>
    <t>BK9008S00100</t>
  </si>
  <si>
    <t>BK9008S00197</t>
  </si>
  <si>
    <t>BK9008S00070</t>
  </si>
  <si>
    <t>BK9008S00046</t>
  </si>
  <si>
    <t>BK9008S00199</t>
  </si>
  <si>
    <t>BK9008S00181</t>
  </si>
  <si>
    <t>BK9008S00099</t>
  </si>
  <si>
    <t>BK9008S00017</t>
  </si>
  <si>
    <t>BK9008S00033</t>
  </si>
  <si>
    <t>BK9008S00034</t>
  </si>
  <si>
    <t>BK9008S00093</t>
  </si>
  <si>
    <t>BK9008S00095</t>
  </si>
  <si>
    <t>BK9008S00084</t>
  </si>
  <si>
    <t>BK9008S00178</t>
  </si>
  <si>
    <t>BK9009S00020</t>
  </si>
  <si>
    <t>BK9009S00075</t>
  </si>
  <si>
    <t>BK9009S00044</t>
  </si>
  <si>
    <t>BK9009S00038</t>
  </si>
  <si>
    <t>BK9009S00120</t>
  </si>
  <si>
    <t>BK9009S00001</t>
  </si>
  <si>
    <t>BK9009S00009</t>
  </si>
  <si>
    <t>BK9009S00050</t>
  </si>
  <si>
    <t>BK9009S00083</t>
  </si>
  <si>
    <t>BK9009S00049</t>
  </si>
  <si>
    <t>BK9009S00006</t>
  </si>
  <si>
    <t>BK9009S00125</t>
  </si>
  <si>
    <t>BK9009S00003</t>
  </si>
  <si>
    <t>BK9009S00002</t>
  </si>
  <si>
    <t>BK9009S00115</t>
  </si>
  <si>
    <t>BK9009S00139</t>
  </si>
  <si>
    <t>BK9010S00155</t>
  </si>
  <si>
    <t>BK9010S00157</t>
  </si>
  <si>
    <t>BK9010S00156</t>
  </si>
  <si>
    <t>BK9010S00159</t>
  </si>
  <si>
    <t>BK9010S00029</t>
  </si>
  <si>
    <t>BK9010S00014</t>
  </si>
  <si>
    <t>BK9010S00092</t>
  </si>
  <si>
    <t>BK9010S00008</t>
  </si>
  <si>
    <t>BK9010S00034</t>
  </si>
  <si>
    <t>BK9010S00042</t>
  </si>
  <si>
    <t>BK9010S00050</t>
  </si>
  <si>
    <t>BK9010S00164</t>
  </si>
  <si>
    <t>BK9010S00022</t>
  </si>
  <si>
    <t>BK9010S00028</t>
  </si>
  <si>
    <t>BK9010S00090</t>
  </si>
  <si>
    <t>BK9010S00071</t>
  </si>
  <si>
    <t>BK9010S00067</t>
  </si>
  <si>
    <t>BK9010S00069</t>
  </si>
  <si>
    <t>BK9010S00180</t>
  </si>
  <si>
    <t>BK9010S00107</t>
  </si>
  <si>
    <t>BK9010S00097</t>
  </si>
  <si>
    <t>BK9010S00002</t>
  </si>
  <si>
    <t>BK9010S00001</t>
  </si>
  <si>
    <t>BK9010S00175</t>
  </si>
  <si>
    <t>BK9010S00046</t>
  </si>
  <si>
    <t>BK9011S00111</t>
  </si>
  <si>
    <t>BK9011S00089</t>
  </si>
  <si>
    <t>BK9011S00192</t>
  </si>
  <si>
    <t>BK9011S00194</t>
  </si>
  <si>
    <t>BK9011S00162</t>
  </si>
  <si>
    <t>BK9011S00031</t>
  </si>
  <si>
    <t>BK9011S00032</t>
  </si>
  <si>
    <t>BK9011S00050</t>
  </si>
  <si>
    <t>BK9011S00016</t>
  </si>
  <si>
    <t>BK9011S00071</t>
  </si>
  <si>
    <t>BK9011S00110</t>
  </si>
  <si>
    <t>BK9011S00141</t>
  </si>
  <si>
    <t>BK9011S00188</t>
  </si>
  <si>
    <t>BK9011S00151</t>
  </si>
  <si>
    <t>BK9011S00187</t>
  </si>
  <si>
    <t>BK9011S00107</t>
  </si>
  <si>
    <t>BK9011S00038</t>
  </si>
  <si>
    <t>BK9011S00039</t>
  </si>
  <si>
    <t>BK9011S00115</t>
  </si>
  <si>
    <t>BK9011S00019</t>
  </si>
  <si>
    <t>BK9011S00117</t>
  </si>
  <si>
    <t>BK9011S00022</t>
  </si>
  <si>
    <t>BK9011S00102</t>
  </si>
  <si>
    <t>BK9011S00114</t>
  </si>
  <si>
    <t>BK9011S00097</t>
  </si>
  <si>
    <t>BK9011S00036</t>
  </si>
  <si>
    <t>BK9011S00037</t>
  </si>
  <si>
    <t>BK9011S00189</t>
  </si>
  <si>
    <t>BK9011S00092</t>
  </si>
  <si>
    <t>BK9011S00075</t>
  </si>
  <si>
    <t>BK9011S00138</t>
  </si>
  <si>
    <t>BK9011S00057</t>
  </si>
  <si>
    <t>BK9011S00143</t>
  </si>
  <si>
    <t>BK9011S00008</t>
  </si>
  <si>
    <t>BK9011S00099</t>
  </si>
  <si>
    <t>BK9011S00100</t>
  </si>
  <si>
    <t>BK9011S00011</t>
  </si>
  <si>
    <t>BK9011S00193</t>
  </si>
  <si>
    <t>BK9011S00056</t>
  </si>
  <si>
    <t>BK9011S00029</t>
  </si>
  <si>
    <t>BK9011S00108</t>
  </si>
  <si>
    <t>BK9011S00135</t>
  </si>
  <si>
    <t>BK9011S00146</t>
  </si>
  <si>
    <t>BK9011S00136</t>
  </si>
  <si>
    <t>BK9012S00261</t>
  </si>
  <si>
    <t>BK9012S00272</t>
  </si>
  <si>
    <t>BK9012S00294</t>
  </si>
  <si>
    <t>BK9012S00358</t>
  </si>
  <si>
    <t>BK9012S00033</t>
  </si>
  <si>
    <t>BK9012S00032</t>
  </si>
  <si>
    <t>BK9012S00077</t>
  </si>
  <si>
    <t>BK9012S00161</t>
  </si>
  <si>
    <t>BK9012S00105</t>
  </si>
  <si>
    <t>BK9012S00058</t>
  </si>
  <si>
    <t>BK9012S00238</t>
  </si>
  <si>
    <t>BK9012S00242</t>
  </si>
  <si>
    <t>BK9012S00243</t>
  </si>
  <si>
    <t>BK9012S00270</t>
  </si>
  <si>
    <t>BK9012S00271</t>
  </si>
  <si>
    <t>BK9012S00279</t>
  </si>
  <si>
    <t>BK9012S00254</t>
  </si>
  <si>
    <t>BK9012S00263</t>
  </si>
  <si>
    <t>BK9012S00264</t>
  </si>
  <si>
    <t>BK9012S00265</t>
  </si>
  <si>
    <t>BK9012S00277</t>
  </si>
  <si>
    <t>BK9012S00278</t>
  </si>
  <si>
    <t>BK9012S00280</t>
  </si>
  <si>
    <t>BK9012S00281</t>
  </si>
  <si>
    <t>BK9012S00266</t>
  </si>
  <si>
    <t>BK9012S00267</t>
  </si>
  <si>
    <t>BK9012S00282</t>
  </si>
  <si>
    <t>BK9012S00151</t>
  </si>
  <si>
    <t>BK9012S00190</t>
  </si>
  <si>
    <t>BK9012S00103</t>
  </si>
  <si>
    <t>BK9012S00066</t>
  </si>
  <si>
    <t>BK9012S00057</t>
  </si>
  <si>
    <t>BK9012S00141</t>
  </si>
  <si>
    <t>BK9012S00143</t>
  </si>
  <si>
    <t>BK9012S00065</t>
  </si>
  <si>
    <t>BK9012S00150</t>
  </si>
  <si>
    <t>BK9012S00189</t>
  </si>
  <si>
    <t>BK9012S00035</t>
  </si>
  <si>
    <t>BK9012S00123</t>
  </si>
  <si>
    <t>BK9012S00015</t>
  </si>
  <si>
    <t>BK9012S00229</t>
  </si>
  <si>
    <t>BK9012S00230</t>
  </si>
  <si>
    <t>BK9012S00258</t>
  </si>
  <si>
    <t>BK9012S00036</t>
  </si>
  <si>
    <t>BK9012S00034</t>
  </si>
  <si>
    <t>BK9012S00192</t>
  </si>
  <si>
    <t>BK9012S00078</t>
  </si>
  <si>
    <t>BK9012S00256</t>
  </si>
  <si>
    <t>BK9012S00075</t>
  </si>
  <si>
    <t>BK9012S00159</t>
  </si>
  <si>
    <t>BK9012S00101</t>
  </si>
  <si>
    <t>BK9012S00155</t>
  </si>
  <si>
    <t>BK9012S00071</t>
  </si>
  <si>
    <t>BK9012S00156</t>
  </si>
  <si>
    <t>BK9012S00072</t>
  </si>
  <si>
    <t>BK9012S00025</t>
  </si>
  <si>
    <t>BK9012S00116</t>
  </si>
  <si>
    <t>BK9012S00069</t>
  </si>
  <si>
    <t>BK9012S00070</t>
  </si>
  <si>
    <t>BK9012S00153</t>
  </si>
  <si>
    <t>BK9012S00073</t>
  </si>
  <si>
    <t>BK9012S00074</t>
  </si>
  <si>
    <t>BK9012S00157</t>
  </si>
  <si>
    <t>BK9012S00158</t>
  </si>
  <si>
    <t>BK9012S00114</t>
  </si>
  <si>
    <t>BK9012S00181</t>
  </si>
  <si>
    <t>BK9012S00333</t>
  </si>
  <si>
    <t>BK9012S00344</t>
  </si>
  <si>
    <t>BK9012S00336</t>
  </si>
  <si>
    <t>BK9012S00337</t>
  </si>
  <si>
    <t>BK9012S00334</t>
  </si>
  <si>
    <t>BK9012S00335</t>
  </si>
  <si>
    <t>BK9012S00329</t>
  </si>
  <si>
    <t>BK9012S00330</t>
  </si>
  <si>
    <t>BK9012S00331</t>
  </si>
  <si>
    <t>BK9012S00332</t>
  </si>
  <si>
    <t>BK9012S00345</t>
  </si>
  <si>
    <t>BK9012S00350</t>
  </si>
  <si>
    <t>BK9012S00355</t>
  </si>
  <si>
    <t>BK9012S00356</t>
  </si>
  <si>
    <t>BK9012S00360</t>
  </si>
  <si>
    <t>BK9012S00020</t>
  </si>
  <si>
    <t>BK9012S00022</t>
  </si>
  <si>
    <t>BK9012S00372</t>
  </si>
  <si>
    <t>BK9012S00037</t>
  </si>
  <si>
    <t>BK9012S00124</t>
  </si>
  <si>
    <t>BK9012S00240</t>
  </si>
  <si>
    <t>BK9012S00245</t>
  </si>
  <si>
    <t>BK9012S00236</t>
  </si>
  <si>
    <t>BK9012S00289</t>
  </si>
  <si>
    <t>BK9012S00241</t>
  </si>
  <si>
    <t>BK9012S00237</t>
  </si>
  <si>
    <t>BK9012S00283</t>
  </si>
  <si>
    <t>BK9012S00290</t>
  </si>
  <si>
    <t>BK9012S00291</t>
  </si>
  <si>
    <t>BK9012S00284</t>
  </si>
  <si>
    <t>BK9012S00224</t>
  </si>
  <si>
    <t>BK9012S00223</t>
  </si>
  <si>
    <t>BK9012S00328</t>
  </si>
  <si>
    <t>BK9012S00389</t>
  </si>
  <si>
    <t>BK9012S00149</t>
  </si>
  <si>
    <t>BK9012S00062</t>
  </si>
  <si>
    <t>BK9012S00063</t>
  </si>
  <si>
    <t>BK9012S00064</t>
  </si>
  <si>
    <t>BK9012S00147</t>
  </si>
  <si>
    <t>BK9012S00148</t>
  </si>
  <si>
    <t>BK9012S00166</t>
  </si>
  <si>
    <t>BK9012S00144</t>
  </si>
  <si>
    <t>BK9012S00146</t>
  </si>
  <si>
    <t>BK9012S00059</t>
  </si>
  <si>
    <t>BK9012S00188</t>
  </si>
  <si>
    <t>BK9012S00152</t>
  </si>
  <si>
    <t>BK9012S00247</t>
  </si>
  <si>
    <t>BK9012S00125</t>
  </si>
  <si>
    <t>BK9012S00287</t>
  </si>
  <si>
    <t>BK9012S00288</t>
  </si>
  <si>
    <t>BK9012S00286</t>
  </si>
  <si>
    <t>BK9012S00233</t>
  </si>
  <si>
    <t>BK9012S00239</t>
  </si>
  <si>
    <t>BK9012S00235</t>
  </si>
  <si>
    <t>BK9013S00006</t>
  </si>
  <si>
    <t>BK9013S00002</t>
  </si>
  <si>
    <t>BK9013S00020</t>
  </si>
  <si>
    <t>BK9013S00009</t>
  </si>
  <si>
    <t>BK9013S00007</t>
  </si>
  <si>
    <t>BK9013S00004</t>
  </si>
  <si>
    <t>BK9014S00100</t>
  </si>
  <si>
    <t>BK9014S00021</t>
  </si>
  <si>
    <t>BK9014S00022</t>
  </si>
  <si>
    <t>BK9014S00055</t>
  </si>
  <si>
    <t>BK9014S00056</t>
  </si>
  <si>
    <t>BK9014S00033</t>
  </si>
  <si>
    <t>BK9014S00025</t>
  </si>
  <si>
    <t>BK9014S00057</t>
  </si>
  <si>
    <t>BK9014S00030</t>
  </si>
  <si>
    <t>BK9014S00062</t>
  </si>
  <si>
    <t>BK9014S00027</t>
  </si>
  <si>
    <t>BK9014S00058</t>
  </si>
  <si>
    <t>BK9014S00059</t>
  </si>
  <si>
    <t>BK9014S00060</t>
  </si>
  <si>
    <t>BK9014S00061</t>
  </si>
  <si>
    <t>BK9014S00104</t>
  </si>
  <si>
    <t>BK9014S00088</t>
  </si>
  <si>
    <t>BK9014S00020</t>
  </si>
  <si>
    <t>BK9014S00054</t>
  </si>
  <si>
    <t>BK9014S00077</t>
  </si>
  <si>
    <t>BK9014S00084</t>
  </si>
  <si>
    <t>BK9015S00199</t>
  </si>
  <si>
    <t>BK9015S00020</t>
  </si>
  <si>
    <t>BK9015S00022</t>
  </si>
  <si>
    <t>BK9015S00189</t>
  </si>
  <si>
    <t>BK9015S00041</t>
  </si>
  <si>
    <t>BK9015S00107</t>
  </si>
  <si>
    <t>BK9015S00019</t>
  </si>
  <si>
    <t>BK9015S00018</t>
  </si>
  <si>
    <t>BK9015S00208</t>
  </si>
  <si>
    <t>BK9015S00211</t>
  </si>
  <si>
    <t>BK9015S00212</t>
  </si>
  <si>
    <t>BK9015S00215</t>
  </si>
  <si>
    <t>BK9015S00218</t>
  </si>
  <si>
    <t>BK9015S00219</t>
  </si>
  <si>
    <t>BK9015S00141</t>
  </si>
  <si>
    <t>BK9015S00142</t>
  </si>
  <si>
    <t>BK9015S00017</t>
  </si>
  <si>
    <t>BK9015S00217</t>
  </si>
  <si>
    <t>BK9015S00277</t>
  </si>
  <si>
    <t>BK9015S00062</t>
  </si>
  <si>
    <t>BK9015S00276</t>
  </si>
  <si>
    <t>BK9015S00119</t>
  </si>
  <si>
    <t>BK9015S00121</t>
  </si>
  <si>
    <t>BK9015S00125</t>
  </si>
  <si>
    <t>BK9015S00210</t>
  </si>
  <si>
    <t>BK9016S00002</t>
  </si>
  <si>
    <t>BK9016S00095</t>
  </si>
  <si>
    <t>BK9016S00248</t>
  </si>
  <si>
    <t>BK9016S00246</t>
  </si>
  <si>
    <t>BK9016S00247</t>
  </si>
  <si>
    <t>BK9016S00249</t>
  </si>
  <si>
    <t>BK9016S00126</t>
  </si>
  <si>
    <t>BK9016S00230</t>
  </si>
  <si>
    <t>BK9016S00232</t>
  </si>
  <si>
    <t>BK9016S00192</t>
  </si>
  <si>
    <t>BK9016S00101</t>
  </si>
  <si>
    <t>BK9016S00041</t>
  </si>
  <si>
    <t>BK9016S00224</t>
  </si>
  <si>
    <t>BK9016S00225</t>
  </si>
  <si>
    <t>BK9016S00226</t>
  </si>
  <si>
    <t>BK9016S00227</t>
  </si>
  <si>
    <t>BK9016S00228</t>
  </si>
  <si>
    <t>BK9016S00220</t>
  </si>
  <si>
    <t>BK9016S00222</t>
  </si>
  <si>
    <t>BK9016S00135</t>
  </si>
  <si>
    <t>BK9016S00164</t>
  </si>
  <si>
    <t>BK9016S00211</t>
  </si>
  <si>
    <t>BK9016S00213</t>
  </si>
  <si>
    <t>BK9016S00122</t>
  </si>
  <si>
    <t>BK9016S00184</t>
  </si>
  <si>
    <t>BK9016S00054</t>
  </si>
  <si>
    <t>BK9016S00004</t>
  </si>
  <si>
    <t>BK9016S00007</t>
  </si>
  <si>
    <t>BK9016S00084</t>
  </si>
  <si>
    <t>BK9016S00043</t>
  </si>
  <si>
    <t>BK9016S00073</t>
  </si>
  <si>
    <t>BK9016S00173</t>
  </si>
  <si>
    <t>BK9016S00243</t>
  </si>
  <si>
    <t>BK9016S00277</t>
  </si>
  <si>
    <t>BK9016S00057</t>
  </si>
  <si>
    <t>BK9016S00077</t>
  </si>
  <si>
    <t>BK9016S00071</t>
  </si>
  <si>
    <t>BK9016S00072</t>
  </si>
  <si>
    <t>BK9016S00265</t>
  </si>
  <si>
    <t>BK9016S00008</t>
  </si>
  <si>
    <t>BK9016S00055</t>
  </si>
  <si>
    <t>BK9016S00128</t>
  </si>
  <si>
    <t>BK9016S00003</t>
  </si>
  <si>
    <t>BK9016S00102</t>
  </si>
  <si>
    <t>BK9016S00009</t>
  </si>
  <si>
    <t>BK9016S00013</t>
  </si>
  <si>
    <t>BK9016S00245</t>
  </si>
  <si>
    <t>BK9016S00259</t>
  </si>
  <si>
    <t>BK9016S00042</t>
  </si>
  <si>
    <t>BK9016S00165</t>
  </si>
  <si>
    <t>BK9016S00214</t>
  </si>
  <si>
    <t>BK9016S00215</t>
  </si>
  <si>
    <t>BK9016S00050</t>
  </si>
  <si>
    <t>BK9017S00175</t>
  </si>
  <si>
    <t>BK9017S00176</t>
  </si>
  <si>
    <t>BK9017S00177</t>
  </si>
  <si>
    <t>BK9017S00178</t>
  </si>
  <si>
    <t>BK9017S00179</t>
  </si>
  <si>
    <t>BK9017S00181</t>
  </si>
  <si>
    <t>BK9017S00183</t>
  </si>
  <si>
    <t>BK9017S00184</t>
  </si>
  <si>
    <t>BK9017S00174</t>
  </si>
  <si>
    <t>BK9017S00051</t>
  </si>
  <si>
    <t>BK9017S00097</t>
  </si>
  <si>
    <t>BK9017S00098</t>
  </si>
  <si>
    <t>BK9017S00099</t>
  </si>
  <si>
    <t>BK9017S00100</t>
  </si>
  <si>
    <t>BK9017S00164</t>
  </si>
  <si>
    <t>BK9017S00091</t>
  </si>
  <si>
    <t>BK9017S00093</t>
  </si>
  <si>
    <t>BK9017S00090</t>
  </si>
  <si>
    <t>BK9017S00111</t>
  </si>
  <si>
    <t>BK9017S00112</t>
  </si>
  <si>
    <t>BK9017S00107</t>
  </si>
  <si>
    <t>BK9017S00108</t>
  </si>
  <si>
    <t>BK9017S00109</t>
  </si>
  <si>
    <t>BK9017S00110</t>
  </si>
  <si>
    <t>BK9017S00048</t>
  </si>
  <si>
    <t>BK9017S00173</t>
  </si>
  <si>
    <t>BK9017S00119</t>
  </si>
  <si>
    <t>BK9017S00113</t>
  </si>
  <si>
    <t>BK9017S00114</t>
  </si>
  <si>
    <t>BK9017S00116</t>
  </si>
  <si>
    <t>BK9017S00117</t>
  </si>
  <si>
    <t>BK9017S00118</t>
  </si>
  <si>
    <t>BK9017S00047</t>
  </si>
  <si>
    <t>BK9017S00044</t>
  </si>
  <si>
    <t>BK9017S00122</t>
  </si>
  <si>
    <t>BK9017S00015</t>
  </si>
  <si>
    <t>BK9017S00014</t>
  </si>
  <si>
    <t>BK9017S00121</t>
  </si>
  <si>
    <t>BK9017S00061</t>
  </si>
  <si>
    <t>BK9017S00007</t>
  </si>
  <si>
    <t>BK9017S00043</t>
  </si>
  <si>
    <t>BK9017S00182</t>
  </si>
  <si>
    <t>BK9017S00171</t>
  </si>
  <si>
    <t>BK9017S00172</t>
  </si>
  <si>
    <t>BK9017S00034</t>
  </si>
  <si>
    <t>BK9017S00050</t>
  </si>
  <si>
    <t>BK9017S00101</t>
  </si>
  <si>
    <t>BK9017S00125</t>
  </si>
  <si>
    <t>BK9017S00102</t>
  </si>
  <si>
    <t>BK9017S00103</t>
  </si>
  <si>
    <t>BK9018S00203</t>
  </si>
  <si>
    <t>BK9018S00204</t>
  </si>
  <si>
    <t>BK9018S00205</t>
  </si>
  <si>
    <t>BK9018S00206</t>
  </si>
  <si>
    <t>BK9018S00208</t>
  </si>
  <si>
    <t>BK9018S00209</t>
  </si>
  <si>
    <t>BK9018S00210</t>
  </si>
  <si>
    <t>BK9018S00005</t>
  </si>
  <si>
    <t>BK9018S00096</t>
  </si>
  <si>
    <t>BK9018S00007</t>
  </si>
  <si>
    <t>BK9018S00194</t>
  </si>
  <si>
    <t>BK9018S00195</t>
  </si>
  <si>
    <t>BK9018S00193</t>
  </si>
  <si>
    <t>BK9018S00197</t>
  </si>
  <si>
    <t>BK9018S00191</t>
  </si>
  <si>
    <t>BK9018S00143</t>
  </si>
  <si>
    <t>BK9018S00218</t>
  </si>
  <si>
    <t>BK9018S00220</t>
  </si>
  <si>
    <t>BK9018S00221</t>
  </si>
  <si>
    <t>BK9018S00147</t>
  </si>
  <si>
    <t>BK9018S00148</t>
  </si>
  <si>
    <t>BK9018S00003</t>
  </si>
  <si>
    <t>BK9018S00056</t>
  </si>
  <si>
    <t>BK9018S00001</t>
  </si>
  <si>
    <t>BK9018S00055</t>
  </si>
  <si>
    <t>BK9018S00002</t>
  </si>
  <si>
    <t>BK9018S00009</t>
  </si>
  <si>
    <t>BK9018S00095</t>
  </si>
  <si>
    <t>BK9018S00190</t>
  </si>
  <si>
    <t>BK9018S00132</t>
  </si>
  <si>
    <t>BK9018S00189</t>
  </si>
  <si>
    <t>BK9018S00137</t>
  </si>
  <si>
    <t>BK9018S00142</t>
  </si>
  <si>
    <t>BK9019S00005</t>
  </si>
  <si>
    <t>BK9019S00008</t>
  </si>
  <si>
    <t>BK9019S00081</t>
  </si>
  <si>
    <t>BK9019S00074</t>
  </si>
  <si>
    <t>BK9019S00062</t>
  </si>
  <si>
    <t>BK9019S00020</t>
  </si>
  <si>
    <t>BK9019S00072</t>
  </si>
  <si>
    <t>BK9019S00088</t>
  </si>
  <si>
    <t>BK9019S00016</t>
  </si>
  <si>
    <t>BK9019S00080</t>
  </si>
  <si>
    <t>BK9019S00134</t>
  </si>
  <si>
    <t>BK9019S00117</t>
  </si>
  <si>
    <t>BK9020S00105</t>
  </si>
  <si>
    <t>BK9020S00029</t>
  </si>
  <si>
    <t>BK9020S00021</t>
  </si>
  <si>
    <t>BK9020S00091</t>
  </si>
  <si>
    <t>BK9020S00093</t>
  </si>
  <si>
    <t>BK9020S00110</t>
  </si>
  <si>
    <t>BK9020S00049</t>
  </si>
  <si>
    <t>BK9020S00047</t>
  </si>
  <si>
    <t>BK9020S00092</t>
  </si>
  <si>
    <t>BK9020S00051</t>
  </si>
  <si>
    <t>BK9020S00052</t>
  </si>
  <si>
    <t>BK9020S00053</t>
  </si>
  <si>
    <t>BK9020S00106</t>
  </si>
  <si>
    <t>BK9020S00032</t>
  </si>
  <si>
    <t>BK9020S00033</t>
  </si>
  <si>
    <t>BK9020S00034</t>
  </si>
  <si>
    <t>BK9020S00075</t>
  </si>
  <si>
    <t>BK9020S00076</t>
  </si>
  <si>
    <t>BK9020S00077</t>
  </si>
  <si>
    <t>BK9021S00137</t>
  </si>
  <si>
    <t>BK9021S00164</t>
  </si>
  <si>
    <t>BK9021S00273</t>
  </si>
  <si>
    <t>BK9021S00274</t>
  </si>
  <si>
    <t>BK9021S00275</t>
  </si>
  <si>
    <t>BK9021S00264</t>
  </si>
  <si>
    <t>BK9021S00196</t>
  </si>
  <si>
    <t>BK9021S00303</t>
  </si>
  <si>
    <t>BK9021S00078</t>
  </si>
  <si>
    <t>BK9021S00178</t>
  </si>
  <si>
    <t>BK9021S00177</t>
  </si>
  <si>
    <t>BK9021S00058</t>
  </si>
  <si>
    <t>BK9021S00122</t>
  </si>
  <si>
    <t>BK9021S00202</t>
  </si>
  <si>
    <t>BK9021S00079</t>
  </si>
  <si>
    <t>BK9021S00232</t>
  </si>
  <si>
    <t>BK9021S00235</t>
  </si>
  <si>
    <t>BK9021S00236</t>
  </si>
  <si>
    <t>BK9021S00227</t>
  </si>
  <si>
    <t>BK9021S00233</t>
  </si>
  <si>
    <t>BK9021S00229</t>
  </si>
  <si>
    <t>BK9021S00242</t>
  </si>
  <si>
    <t>BK9021S00266</t>
  </si>
  <si>
    <t>BK9021S00316</t>
  </si>
  <si>
    <t>BK9021S00121</t>
  </si>
  <si>
    <t>BK9021S00248</t>
  </si>
  <si>
    <t>BK9021S00245</t>
  </si>
  <si>
    <t>BK9021S00035</t>
  </si>
  <si>
    <t>BK9021S00251</t>
  </si>
  <si>
    <t>BK9021S00252</t>
  </si>
  <si>
    <t>BK9022S00004</t>
  </si>
  <si>
    <t>BK9022S00090</t>
  </si>
  <si>
    <t>BK9022S00010</t>
  </si>
  <si>
    <t>BK9022S00011</t>
  </si>
  <si>
    <t>BK9022S00025</t>
  </si>
  <si>
    <t>BK9022S00050</t>
  </si>
  <si>
    <t>BK9022S00031</t>
  </si>
  <si>
    <t>BK9022S00068</t>
  </si>
  <si>
    <t>BK9022S00062</t>
  </si>
  <si>
    <t>BK9022S00066</t>
  </si>
  <si>
    <t>BK9022S00074</t>
  </si>
  <si>
    <t>BK9023S00014</t>
  </si>
  <si>
    <t>BK9023S00015</t>
  </si>
  <si>
    <t>BK9023S00001</t>
  </si>
  <si>
    <t>BK9023S00033</t>
  </si>
  <si>
    <t>BK9023S00038</t>
  </si>
  <si>
    <t>BK9023S00042</t>
  </si>
  <si>
    <t>BK9023S00019</t>
  </si>
  <si>
    <t>BK9024S00012</t>
  </si>
  <si>
    <t>BK9024S00013</t>
  </si>
  <si>
    <t>BK9024S00014</t>
  </si>
  <si>
    <t>BK9024S00075</t>
  </si>
  <si>
    <t>BK9024S00039</t>
  </si>
  <si>
    <t>BK9024S00083</t>
  </si>
  <si>
    <t>BK9024S00086</t>
  </si>
  <si>
    <t>BK9024S00087</t>
  </si>
  <si>
    <t>BK9024S00059</t>
  </si>
  <si>
    <t>BK9024S00067</t>
  </si>
  <si>
    <t>BK9024S00060</t>
  </si>
  <si>
    <t>BK9024S00053</t>
  </si>
  <si>
    <t>BK9024S00071</t>
  </si>
  <si>
    <t>BK9024S00032</t>
  </si>
  <si>
    <t>BK9024S00011</t>
  </si>
  <si>
    <t>BK9024S00007</t>
  </si>
  <si>
    <t>BK9024S00033</t>
  </si>
  <si>
    <t>BK9024S00047</t>
  </si>
  <si>
    <t>BK9025S00009</t>
  </si>
  <si>
    <t>BK9025S00053</t>
  </si>
  <si>
    <t>BK9025S00022</t>
  </si>
  <si>
    <t>BK9025S00023</t>
  </si>
  <si>
    <t>BK9025S00032</t>
  </si>
  <si>
    <t>BK9025S00066</t>
  </si>
  <si>
    <t>BK9025S00088</t>
  </si>
  <si>
    <t>BK9025S00086</t>
  </si>
  <si>
    <t>BK9025S00102</t>
  </si>
  <si>
    <t>BK9025S00069</t>
  </si>
  <si>
    <t>BK9025S00060</t>
  </si>
  <si>
    <t>BK9025S00024</t>
  </si>
  <si>
    <t>BK9025S00085</t>
  </si>
  <si>
    <t>BK9027S00022</t>
  </si>
  <si>
    <t>BK9027S00002</t>
  </si>
  <si>
    <t>BK9027S00092</t>
  </si>
  <si>
    <t>BK9027S00015</t>
  </si>
  <si>
    <t>BK9027S00034</t>
  </si>
  <si>
    <t>BK9027S00007</t>
  </si>
  <si>
    <t>BK9027S00035</t>
  </si>
  <si>
    <t>BK9027S00090</t>
  </si>
  <si>
    <t>BK9027S00023</t>
  </si>
  <si>
    <t>BK9027S00008</t>
  </si>
  <si>
    <t>BK9027S00036</t>
  </si>
  <si>
    <t>BK9027S00014</t>
  </si>
  <si>
    <t>BK9027S00091</t>
  </si>
  <si>
    <t>BK9027S00028</t>
  </si>
  <si>
    <t>BK9028S00129</t>
  </si>
  <si>
    <t>BK9028S00060</t>
  </si>
  <si>
    <t>BK9028S00065</t>
  </si>
  <si>
    <t>BK9028S00002</t>
  </si>
  <si>
    <t>BK9028S00122</t>
  </si>
  <si>
    <t>BK9028S00227</t>
  </si>
  <si>
    <t>BK9028S00043</t>
  </si>
  <si>
    <t>BK9028S00109</t>
  </si>
  <si>
    <t>BK9028S00223</t>
  </si>
  <si>
    <t>BK9028S00097</t>
  </si>
  <si>
    <t>BK9028S00072</t>
  </si>
  <si>
    <t>BK9028S00137</t>
  </si>
  <si>
    <t>BK9028S00198</t>
  </si>
  <si>
    <t>BK9028S00228</t>
  </si>
  <si>
    <t>BK9028S00229</t>
  </si>
  <si>
    <t>BK9028S00236</t>
  </si>
  <si>
    <t>BK9028S00113</t>
  </si>
  <si>
    <t>BK9028S00063</t>
  </si>
  <si>
    <t>BK9028S00138</t>
  </si>
  <si>
    <t>BK9028S00144</t>
  </si>
  <si>
    <t>BK9028S00151</t>
  </si>
  <si>
    <t>BK9028S00231</t>
  </si>
  <si>
    <t>BK9028S00241</t>
  </si>
  <si>
    <t>BK9028S00124</t>
  </si>
  <si>
    <t>BK9028S00054</t>
  </si>
  <si>
    <t>BK9028S00035</t>
  </si>
  <si>
    <t>BK9028S00240</t>
  </si>
  <si>
    <t>BK9028S00170</t>
  </si>
  <si>
    <t>BK9028S00197</t>
  </si>
  <si>
    <t>BK9028S00166</t>
  </si>
  <si>
    <t>BK9028S00171</t>
  </si>
  <si>
    <t>BK9028S00220</t>
  </si>
  <si>
    <t>BK9028S00045</t>
  </si>
  <si>
    <t>BK9028S00095</t>
  </si>
  <si>
    <t>BK9028S00044</t>
  </si>
  <si>
    <t>BK9028S00096</t>
  </si>
  <si>
    <t>BK9028S00130</t>
  </si>
  <si>
    <t>BK9028S00190</t>
  </si>
  <si>
    <t>BK9028S00061</t>
  </si>
  <si>
    <t>BK9028S00062</t>
  </si>
  <si>
    <t>BK9028S00110</t>
  </si>
  <si>
    <t>BK9028S00101</t>
  </si>
  <si>
    <t>BK9028S00218</t>
  </si>
  <si>
    <t>BK9029S00263</t>
  </si>
  <si>
    <t>BK9029S00240</t>
  </si>
  <si>
    <t>BK9029S00237</t>
  </si>
  <si>
    <t>BK9029S00243</t>
  </si>
  <si>
    <t>BK9029S00245</t>
  </si>
  <si>
    <t>BK9029S00248</t>
  </si>
  <si>
    <t>BK9029S00241</t>
  </si>
  <si>
    <t>BK9029S00242</t>
  </si>
  <si>
    <t>BK9029S00244</t>
  </si>
  <si>
    <t>BK9029S00058</t>
  </si>
  <si>
    <t>BK9029S00059</t>
  </si>
  <si>
    <t>BK9029S00122</t>
  </si>
  <si>
    <t>BK9029S00123</t>
  </si>
  <si>
    <t>BK9029S00201</t>
  </si>
  <si>
    <t>BK9029S00202</t>
  </si>
  <si>
    <t>BK9029S00200</t>
  </si>
  <si>
    <t>BK9029S00181</t>
  </si>
  <si>
    <t>BK9029S00190</t>
  </si>
  <si>
    <t>BK9029S00191</t>
  </si>
  <si>
    <t>BK9029S00069</t>
  </si>
  <si>
    <t>BK9029S00133</t>
  </si>
  <si>
    <t>BK9029S00063</t>
  </si>
  <si>
    <t>BK9029S00128</t>
  </si>
  <si>
    <t>BK9029S00119</t>
  </si>
  <si>
    <t>BK9029S00146</t>
  </si>
  <si>
    <t>BK9029S00055</t>
  </si>
  <si>
    <t>BK9029S00056</t>
  </si>
  <si>
    <t>BK9029S00057</t>
  </si>
  <si>
    <t>BK9029S00060</t>
  </si>
  <si>
    <t>BK9029S00061</t>
  </si>
  <si>
    <t>BK9029S00062</t>
  </si>
  <si>
    <t>BK9029S00064</t>
  </si>
  <si>
    <t>BK9029S00065</t>
  </si>
  <si>
    <t>BK9029S00066</t>
  </si>
  <si>
    <t>BK9029S00067</t>
  </si>
  <si>
    <t>BK9029S00068</t>
  </si>
  <si>
    <t>BK9029S00103</t>
  </si>
  <si>
    <t>BK9029S00121</t>
  </si>
  <si>
    <t>BK9029S00125</t>
  </si>
  <si>
    <t>BK9029S00126</t>
  </si>
  <si>
    <t>BK9029S00127</t>
  </si>
  <si>
    <t>BK9029S00129</t>
  </si>
  <si>
    <t>BK9029S00130</t>
  </si>
  <si>
    <t>BK9029S00131</t>
  </si>
  <si>
    <t>BK9029S00132</t>
  </si>
  <si>
    <t>BK9029S00253</t>
  </si>
  <si>
    <t>BK9030S00055</t>
  </si>
  <si>
    <t>BK9030S00052</t>
  </si>
  <si>
    <t>BK9030S00015</t>
  </si>
  <si>
    <t>BK9030S00051</t>
  </si>
  <si>
    <t>BK9030S00002</t>
  </si>
  <si>
    <t>BK9030S00027</t>
  </si>
  <si>
    <t>BK9030S00010</t>
  </si>
  <si>
    <t>BK9030S00022</t>
  </si>
  <si>
    <t>BK9030S00048</t>
  </si>
  <si>
    <t>BK9030S00058</t>
  </si>
  <si>
    <t>BK9030S00057</t>
  </si>
  <si>
    <t>BK9030S00025</t>
  </si>
  <si>
    <t>BK9030S00026</t>
  </si>
  <si>
    <t>BK9034S00224</t>
  </si>
  <si>
    <t>BK9034S00228</t>
  </si>
  <si>
    <t>BK9034S00230</t>
  </si>
  <si>
    <t>BK9034S00231</t>
  </si>
  <si>
    <t>BK9034S00232</t>
  </si>
  <si>
    <t>BK9034S00233</t>
  </si>
  <si>
    <t>BK9034S00235</t>
  </si>
  <si>
    <t>BK9034S00236</t>
  </si>
  <si>
    <t>BK9034S00237</t>
  </si>
  <si>
    <t>BK9034S00238</t>
  </si>
  <si>
    <t>BK9034S00239</t>
  </si>
  <si>
    <t>BK9034S00268</t>
  </si>
  <si>
    <t>BK9034S00270</t>
  </si>
  <si>
    <t>BK9034S00225</t>
  </si>
  <si>
    <t>BK9034S00248</t>
  </si>
  <si>
    <t>BK9034S00253</t>
  </si>
  <si>
    <t>BK9034S00255</t>
  </si>
  <si>
    <t>BK9034S00104</t>
  </si>
  <si>
    <t>BK9034S00011</t>
  </si>
  <si>
    <t>BK9034S00217</t>
  </si>
  <si>
    <t>BK9034S00005</t>
  </si>
  <si>
    <t>BK9034S00044</t>
  </si>
  <si>
    <t>BK9034S00244</t>
  </si>
  <si>
    <t>BK9034S00256</t>
  </si>
  <si>
    <t>BK9034S00245</t>
  </si>
  <si>
    <t>BK9034S00251</t>
  </si>
  <si>
    <t>BK9034S00222</t>
  </si>
  <si>
    <t>BK9034S00223</t>
  </si>
  <si>
    <t>BK9034S00229</t>
  </si>
  <si>
    <t>BK9034S00262</t>
  </si>
  <si>
    <t>BK9034S00252</t>
  </si>
  <si>
    <t>BK9034S00226</t>
  </si>
  <si>
    <t>BK9034S00100</t>
  </si>
  <si>
    <t>BK9034S00101</t>
  </si>
  <si>
    <t>BK9034S00063</t>
  </si>
  <si>
    <t>BK9034S00039</t>
  </si>
  <si>
    <t>BK9034S00240</t>
  </si>
  <si>
    <t>BK9034S00241</t>
  </si>
  <si>
    <t>BK9034S00243</t>
  </si>
  <si>
    <t>BK9034S00227</t>
  </si>
  <si>
    <t>BK9034S00246</t>
  </si>
  <si>
    <t>BK9034S00258</t>
  </si>
  <si>
    <t>BK9034S00007</t>
  </si>
  <si>
    <t>BK9034S00061</t>
  </si>
  <si>
    <t>BK9034S00008</t>
  </si>
  <si>
    <t>BK9034S00040</t>
  </si>
  <si>
    <t>BK9035S00017</t>
  </si>
  <si>
    <t>BK9035S00016</t>
  </si>
  <si>
    <t>BK9035S00008</t>
  </si>
  <si>
    <t>BK9035S00011</t>
  </si>
  <si>
    <t>BK9035S00012</t>
  </si>
  <si>
    <t>BK9036S00005</t>
  </si>
  <si>
    <t>BK9036S00001</t>
  </si>
  <si>
    <t>BK9038S00074</t>
  </si>
  <si>
    <t>BK9038S00179</t>
  </si>
  <si>
    <t>BK9038S00180</t>
  </si>
  <si>
    <t>BK9038S00063</t>
  </si>
  <si>
    <t>BK9038S00061</t>
  </si>
  <si>
    <t>BK9038S00178</t>
  </si>
  <si>
    <t>BK9038S00261</t>
  </si>
  <si>
    <t>BK9038S00152</t>
  </si>
  <si>
    <t>BK9038S00138</t>
  </si>
  <si>
    <t>BK9038S00086</t>
  </si>
  <si>
    <t>BK9038S00060</t>
  </si>
  <si>
    <t>BK9038S00085</t>
  </si>
  <si>
    <t>BK9038S00263</t>
  </si>
  <si>
    <t>BK9038S00265</t>
  </si>
  <si>
    <t>BK9038S00269</t>
  </si>
  <si>
    <t>BK9038S00156</t>
  </si>
  <si>
    <t>BK9038S00183</t>
  </si>
  <si>
    <t>BK9038S00159</t>
  </si>
  <si>
    <t>BK9038S00184</t>
  </si>
  <si>
    <t>BK9038S00144</t>
  </si>
  <si>
    <t>BK9038S00062</t>
  </si>
  <si>
    <t>BK9038S00150</t>
  </si>
  <si>
    <t>BK9038S00025</t>
  </si>
  <si>
    <t>BK9038S00125</t>
  </si>
  <si>
    <t>BK9038S00267</t>
  </si>
  <si>
    <t>BK9038S00119</t>
  </si>
  <si>
    <t>BK9038S00124</t>
  </si>
  <si>
    <t>BK9038S00161</t>
  </si>
  <si>
    <t>BK9038S00162</t>
  </si>
  <si>
    <t>BK9038S00165</t>
  </si>
  <si>
    <t>BK9038S00164</t>
  </si>
  <si>
    <t>BK9038S00098</t>
  </si>
  <si>
    <t>BK9038S00167</t>
  </si>
  <si>
    <t>BK9038S00147</t>
  </si>
  <si>
    <t>BK9038S00130</t>
  </si>
  <si>
    <t>BK9038S00133</t>
  </si>
  <si>
    <t>BK9038S00134</t>
  </si>
  <si>
    <t>BK9038S00145</t>
  </si>
  <si>
    <t>BK9038S00146</t>
  </si>
  <si>
    <t>BK9038S00148</t>
  </si>
  <si>
    <t>BK9039S00126</t>
  </si>
  <si>
    <t>BK9039S00181</t>
  </si>
  <si>
    <t>BK9039S00182</t>
  </si>
  <si>
    <t>BK9039S00009</t>
  </si>
  <si>
    <t>BK9039S00011</t>
  </si>
  <si>
    <t>BK9039S00058</t>
  </si>
  <si>
    <t>BK9039S00118</t>
  </si>
  <si>
    <t>BK9039S00265</t>
  </si>
  <si>
    <t>BK9039S00266</t>
  </si>
  <si>
    <t>BK9039S00109</t>
  </si>
  <si>
    <t>BK9039S00110</t>
  </si>
  <si>
    <t>BK9039S00047</t>
  </si>
  <si>
    <t>BK9039S00186</t>
  </si>
  <si>
    <t>BK9039S00180</t>
  </si>
  <si>
    <t>BK9039S00179</t>
  </si>
  <si>
    <t>BK9039S00099</t>
  </si>
  <si>
    <t>BK9039S00115</t>
  </si>
  <si>
    <t>BK9039S00188</t>
  </si>
  <si>
    <t>BK9039S00124</t>
  </si>
  <si>
    <t>BK9039S00125</t>
  </si>
  <si>
    <t>BK9039S00003</t>
  </si>
  <si>
    <t>BK9039S00076</t>
  </si>
  <si>
    <t>BK9039S00209</t>
  </si>
  <si>
    <t>BK9039S00246</t>
  </si>
  <si>
    <t>BK9039S00114</t>
  </si>
  <si>
    <t>BK9039S00189</t>
  </si>
  <si>
    <t>BK9039S00029</t>
  </si>
  <si>
    <t>BK9039S00211</t>
  </si>
  <si>
    <t>BK9039S00078</t>
  </si>
  <si>
    <t>BK9039S00210</t>
  </si>
  <si>
    <t>BK9039S00137</t>
  </si>
  <si>
    <t>BK9039S00048</t>
  </si>
  <si>
    <t>BK9039S00184</t>
  </si>
  <si>
    <t>BK9039S00185</t>
  </si>
  <si>
    <t>BK9039S00024</t>
  </si>
  <si>
    <t>BK9039S00089</t>
  </si>
  <si>
    <t>BK9040S00037</t>
  </si>
  <si>
    <t>BK9040S00048</t>
  </si>
  <si>
    <t>BK9040S00050</t>
  </si>
  <si>
    <t>BK9040S00063</t>
  </si>
  <si>
    <t>BK9041S00037</t>
  </si>
  <si>
    <t>BK9041S00010</t>
  </si>
  <si>
    <t>BK9041S00011</t>
  </si>
  <si>
    <t>BK9041S00023</t>
  </si>
  <si>
    <t>BK9041S00006</t>
  </si>
  <si>
    <t>BK9041S00007</t>
  </si>
  <si>
    <t>BK9041S00009</t>
  </si>
  <si>
    <t>BK9041S00008</t>
  </si>
  <si>
    <t>BK9041S00020</t>
  </si>
  <si>
    <t>BK9041S00021</t>
  </si>
  <si>
    <t>BK9041S00043</t>
  </si>
  <si>
    <t>BK9041S00035</t>
  </si>
  <si>
    <t>BK9042S00027</t>
  </si>
  <si>
    <t>BK9042S00129</t>
  </si>
  <si>
    <t>BK9042S00061</t>
  </si>
  <si>
    <t>BK9042S00084</t>
  </si>
  <si>
    <t>BK9042S00170</t>
  </si>
  <si>
    <t>BK9042S00172</t>
  </si>
  <si>
    <t>BK9042S00083</t>
  </si>
  <si>
    <t>BK9042S00101</t>
  </si>
  <si>
    <t>BK9042S00047</t>
  </si>
  <si>
    <t>BK9042S00060</t>
  </si>
  <si>
    <t>BK9042S00032</t>
  </si>
  <si>
    <t>BK9042S00036</t>
  </si>
  <si>
    <t>BK9042S00033</t>
  </si>
  <si>
    <t>BK9042S00031</t>
  </si>
  <si>
    <t>BK9042S00113</t>
  </si>
  <si>
    <t>BK9042S00131</t>
  </si>
  <si>
    <t>BK9042S00072</t>
  </si>
  <si>
    <t>BK9042S00136</t>
  </si>
  <si>
    <t>BK9042S00163</t>
  </si>
  <si>
    <t>BK9042S00164</t>
  </si>
  <si>
    <t>BK9042S00165</t>
  </si>
  <si>
    <t>BK9042S00166</t>
  </si>
  <si>
    <t>BK9042S00167</t>
  </si>
  <si>
    <t>BK9043S00003</t>
  </si>
  <si>
    <t>BK9043S00006</t>
  </si>
  <si>
    <t>BK9043S00025</t>
  </si>
  <si>
    <t>BK9043S00007</t>
  </si>
  <si>
    <t>BK9043S00020</t>
  </si>
  <si>
    <t>BK9045S00003</t>
  </si>
  <si>
    <t>BK9045S00001</t>
  </si>
  <si>
    <t>BK9045S00008</t>
  </si>
  <si>
    <t>BK9047S00001</t>
  </si>
  <si>
    <t>BK9047S00003</t>
  </si>
  <si>
    <t>BK9048S00002</t>
  </si>
  <si>
    <t>BK9048S00003</t>
  </si>
  <si>
    <t>BK9048S00008</t>
  </si>
  <si>
    <t>BK9048S00006</t>
  </si>
  <si>
    <t>BK9048S00001</t>
  </si>
  <si>
    <t>BK9053S00022</t>
  </si>
  <si>
    <t>BK9053S00102</t>
  </si>
  <si>
    <t>BK9053S00152</t>
  </si>
  <si>
    <t>BK9053S00021</t>
  </si>
  <si>
    <t>BK9053S00020</t>
  </si>
  <si>
    <t>BK9053S00002</t>
  </si>
  <si>
    <t>BK9053S00150</t>
  </si>
  <si>
    <t>BK9053S00052</t>
  </si>
  <si>
    <t>BK9053S00053</t>
  </si>
  <si>
    <t>BK9053S00054</t>
  </si>
  <si>
    <t>BK9053S00125</t>
  </si>
  <si>
    <t>BK9053S00219</t>
  </si>
  <si>
    <t>BK9053S00220</t>
  </si>
  <si>
    <t>BK9053S00023</t>
  </si>
  <si>
    <t>BK9053S00103</t>
  </si>
  <si>
    <t>BK9053S00106</t>
  </si>
  <si>
    <t>BK9053S00169</t>
  </si>
  <si>
    <t>BK9053S00147</t>
  </si>
  <si>
    <t>BK9053S00083</t>
  </si>
  <si>
    <t>BK9053S00148</t>
  </si>
  <si>
    <t>BK9053S00051</t>
  </si>
  <si>
    <t>BK9053S00123</t>
  </si>
  <si>
    <t>BK9053S00093</t>
  </si>
  <si>
    <t>BK9053S00061</t>
  </si>
  <si>
    <t>BK9053S00092</t>
  </si>
  <si>
    <t>BK9053S00130</t>
  </si>
  <si>
    <t>BK9053S00113</t>
  </si>
  <si>
    <t>BK9054S00318</t>
  </si>
  <si>
    <t>BK9054S00076</t>
  </si>
  <si>
    <t>BK9054S00008</t>
  </si>
  <si>
    <t>BK9054S00092</t>
  </si>
  <si>
    <t>BK9054S00053</t>
  </si>
  <si>
    <t>BK9054S00248</t>
  </si>
  <si>
    <t>BK9054S00122</t>
  </si>
  <si>
    <t>BK9054S00070</t>
  </si>
  <si>
    <t>BK9054S00166</t>
  </si>
  <si>
    <t>BK9054S00171</t>
  </si>
  <si>
    <t>BK9054S00071</t>
  </si>
  <si>
    <t>BK9054S00249</t>
  </si>
  <si>
    <t>BK9054S00237</t>
  </si>
  <si>
    <t>BK9054S00212</t>
  </si>
  <si>
    <t>BK9054S00144</t>
  </si>
  <si>
    <t>BK9054S00068</t>
  </si>
  <si>
    <t>BK9054S00290</t>
  </si>
  <si>
    <t>BK9054S00046</t>
  </si>
  <si>
    <t>BK9054S00142</t>
  </si>
  <si>
    <t>BK9054S00143</t>
  </si>
  <si>
    <t>BK9054S00185</t>
  </si>
  <si>
    <t>BK9054S00289</t>
  </si>
  <si>
    <t>BK9054S00297</t>
  </si>
  <si>
    <t>BK9054S00162</t>
  </si>
  <si>
    <t>BK9054S00298</t>
  </si>
  <si>
    <t>BK9054S00124</t>
  </si>
  <si>
    <t>BK9054S00005</t>
  </si>
  <si>
    <t>BK9054S00127</t>
  </si>
  <si>
    <t>BK9054S00006</t>
  </si>
  <si>
    <t>BK9054S00037</t>
  </si>
  <si>
    <t>BK9054S00321</t>
  </si>
  <si>
    <t>BK9054S00002</t>
  </si>
  <si>
    <t>BK9054S00003</t>
  </si>
  <si>
    <t>BK9054S00004</t>
  </si>
  <si>
    <t>BK9054S00125</t>
  </si>
  <si>
    <t>BK9054S00126</t>
  </si>
  <si>
    <t>BK9054S00259</t>
  </si>
  <si>
    <t>BK9054S00261</t>
  </si>
  <si>
    <t>BK9054S00300</t>
  </si>
  <si>
    <t>BK9054S00056</t>
  </si>
  <si>
    <t>BK9054S00296</t>
  </si>
  <si>
    <t>BK9054S00299</t>
  </si>
  <si>
    <t>BK9054S00222</t>
  </si>
  <si>
    <t>BK9054S00088</t>
  </si>
  <si>
    <t>BK9054S00184</t>
  </si>
  <si>
    <t>BK9055S00012</t>
  </si>
  <si>
    <t>BK9055S00015</t>
  </si>
  <si>
    <t>BK9055S00003</t>
  </si>
  <si>
    <t>BK9055S00017</t>
  </si>
  <si>
    <t>BK9055S00014</t>
  </si>
  <si>
    <t>BK9060S00072</t>
  </si>
  <si>
    <t>BK9060S00035</t>
  </si>
  <si>
    <t>BK9060S00013</t>
  </si>
  <si>
    <t>BK9060S00027</t>
  </si>
  <si>
    <t>BK9060S00014</t>
  </si>
  <si>
    <t>BK9060S00028</t>
  </si>
  <si>
    <t>BK9060S00071</t>
  </si>
  <si>
    <t>BK9060S00015</t>
  </si>
  <si>
    <t>BK9060S00010</t>
  </si>
  <si>
    <t>BK9060S00011</t>
  </si>
  <si>
    <t>BK9060S00022</t>
  </si>
  <si>
    <t>BK9060S00023</t>
  </si>
  <si>
    <t>BK9060S00006</t>
  </si>
  <si>
    <t>BK9060S00007</t>
  </si>
  <si>
    <t>BK9060S00008</t>
  </si>
  <si>
    <t>BK9061S00062</t>
  </si>
  <si>
    <t>BK9061S00064</t>
  </si>
  <si>
    <t>BK9061S00022</t>
  </si>
  <si>
    <t>BK9061S00063</t>
  </si>
  <si>
    <t>BK9061S00024</t>
  </si>
  <si>
    <t>BK9061S00065</t>
  </si>
  <si>
    <t>BK9061S00018</t>
  </si>
  <si>
    <t>BK9061S00059</t>
  </si>
  <si>
    <t>BK9061S00019</t>
  </si>
  <si>
    <t>BK9061S00036</t>
  </si>
  <si>
    <t>BK9061S00034</t>
  </si>
  <si>
    <t>BK9061S00028</t>
  </si>
  <si>
    <t>BK9061S00029</t>
  </si>
  <si>
    <t>BK9061S00030</t>
  </si>
  <si>
    <t>BK9061S00031</t>
  </si>
  <si>
    <t>BK9061S00032</t>
  </si>
  <si>
    <t>BK9061S00033</t>
  </si>
  <si>
    <t>BK9061S00073</t>
  </si>
  <si>
    <t>BK9061S00121</t>
  </si>
  <si>
    <t>BK9061S00096</t>
  </si>
  <si>
    <t>BK9061S00110</t>
  </si>
  <si>
    <t>BK9061S00106</t>
  </si>
  <si>
    <t>BK9061S00107</t>
  </si>
  <si>
    <t>BK9061S00108</t>
  </si>
  <si>
    <t>BK9061S00109</t>
  </si>
  <si>
    <t>BK9061S00111</t>
  </si>
  <si>
    <t>BK9061S00074</t>
  </si>
  <si>
    <t>BK9061S00086</t>
  </si>
  <si>
    <t>BK9061S00042</t>
  </si>
  <si>
    <t>BK9061S00043</t>
  </si>
  <si>
    <t>BK9061S00080</t>
  </si>
  <si>
    <t>BK9061S00061</t>
  </si>
  <si>
    <t>BK9061S00060</t>
  </si>
  <si>
    <t>BK9061S00020</t>
  </si>
  <si>
    <t>BK9061S00048</t>
  </si>
  <si>
    <t>BK9061S00049</t>
  </si>
  <si>
    <t>BK9061S00006</t>
  </si>
  <si>
    <t>BK9061S00008</t>
  </si>
  <si>
    <t>BK9061S00010</t>
  </si>
  <si>
    <t>BK9061S00011</t>
  </si>
  <si>
    <t>BK9061S00012</t>
  </si>
  <si>
    <t>BK9061S00050</t>
  </si>
  <si>
    <t>BK9061S00051</t>
  </si>
  <si>
    <t>BK9061S00052</t>
  </si>
  <si>
    <t>BK9061S00044</t>
  </si>
  <si>
    <t>BK9061S00083</t>
  </si>
  <si>
    <t>BK9061S00120</t>
  </si>
  <si>
    <t>BK9061S00118</t>
  </si>
  <si>
    <t>BK9061S00025</t>
  </si>
  <si>
    <t>BK9061S00066</t>
  </si>
  <si>
    <t>BK9068S00199</t>
  </si>
  <si>
    <t>BK9068S00081</t>
  </si>
  <si>
    <t>BK9068S00080</t>
  </si>
  <si>
    <t>BK9068S00198</t>
  </si>
  <si>
    <t>BK9068S00176</t>
  </si>
  <si>
    <t>BK9068S00189</t>
  </si>
  <si>
    <t>BK9068S00018</t>
  </si>
  <si>
    <t>BK9068S00102</t>
  </si>
  <si>
    <t>BK9068S00012</t>
  </si>
  <si>
    <t>BK9068S00013</t>
  </si>
  <si>
    <t>BK9068S00016</t>
  </si>
  <si>
    <t>BK9069S00005</t>
  </si>
  <si>
    <t>BK9069S00008</t>
  </si>
  <si>
    <t>BK9069S00059</t>
  </si>
  <si>
    <t>BK9069S00029</t>
  </si>
  <si>
    <t>BK9069S00047</t>
  </si>
  <si>
    <t>BK9069S00107</t>
  </si>
  <si>
    <t>BK9069S00101</t>
  </si>
  <si>
    <t>BK9069S00106</t>
  </si>
  <si>
    <t>BK9069S00109</t>
  </si>
  <si>
    <t>BK9069S00110</t>
  </si>
  <si>
    <t>BK9069S00111</t>
  </si>
  <si>
    <t>BK9069S00112</t>
  </si>
  <si>
    <t>BK9069S00114</t>
  </si>
  <si>
    <t>BK9069S00098</t>
  </si>
  <si>
    <t>BK9069S00099</t>
  </si>
  <si>
    <t>BK9069S00113</t>
  </si>
  <si>
    <t>BK9069S00030</t>
  </si>
  <si>
    <t>BK9069S00002</t>
  </si>
  <si>
    <t>BK9069S00004</t>
  </si>
  <si>
    <t>BK9069S00033</t>
  </si>
  <si>
    <t>BK9069S00039</t>
  </si>
  <si>
    <t>BK9069S00012</t>
  </si>
  <si>
    <t>BK9070S00241</t>
  </si>
  <si>
    <t>BK9070S00160</t>
  </si>
  <si>
    <t>BK9070S00046</t>
  </si>
  <si>
    <t>BK9070S00014</t>
  </si>
  <si>
    <t>BK9070S00013</t>
  </si>
  <si>
    <t>BK9070S00122</t>
  </si>
  <si>
    <t>BK9070S00161</t>
  </si>
  <si>
    <t>BK9070S00012</t>
  </si>
  <si>
    <t>BK9070S00208</t>
  </si>
  <si>
    <t>BK9070S00011</t>
  </si>
  <si>
    <t>BK9070S00090</t>
  </si>
  <si>
    <t>BK9070S00178</t>
  </si>
  <si>
    <t>BK9070S00221</t>
  </si>
  <si>
    <t>BK9070S00043</t>
  </si>
  <si>
    <t>BK9070S00280</t>
  </si>
  <si>
    <t>BK9070S00223</t>
  </si>
  <si>
    <t>BK9070S00121</t>
  </si>
  <si>
    <t>BK9070S00220</t>
  </si>
  <si>
    <t>BK9070S00149</t>
  </si>
  <si>
    <t>BK9070S00025</t>
  </si>
  <si>
    <t>BK9070S00115</t>
  </si>
  <si>
    <t>BK9070S00042</t>
  </si>
  <si>
    <t>BK9070S00009</t>
  </si>
  <si>
    <t>BK9070S00176</t>
  </si>
  <si>
    <t>BK9070S00287</t>
  </si>
  <si>
    <t>BK9070S00286</t>
  </si>
  <si>
    <t>BK9070S00288</t>
  </si>
  <si>
    <t>BK9070S00290</t>
  </si>
  <si>
    <t>BK9071S00026</t>
  </si>
  <si>
    <t>BK9071S00005</t>
  </si>
  <si>
    <t>BK9071S00019</t>
  </si>
  <si>
    <t>BK9071S00093</t>
  </si>
  <si>
    <t>BK9071S00106</t>
  </si>
  <si>
    <t>BK9071S00131</t>
  </si>
  <si>
    <t>BK9071S00108</t>
  </si>
  <si>
    <t>BK9071S00136</t>
  </si>
  <si>
    <t>BK9071S00071</t>
  </si>
  <si>
    <t>BK9071S00067</t>
  </si>
  <si>
    <t>BK9071S00030</t>
  </si>
  <si>
    <t>BK9071S00132</t>
  </si>
  <si>
    <t>BK9071S00104</t>
  </si>
  <si>
    <t>BK9071S00107</t>
  </si>
  <si>
    <t>BK9071S00144</t>
  </si>
  <si>
    <t>BK9074S00018</t>
  </si>
  <si>
    <t>BK9087S00136</t>
  </si>
  <si>
    <t>BK9087S00002</t>
  </si>
  <si>
    <t>BK9087S00030</t>
  </si>
  <si>
    <t>BK9087S00033</t>
  </si>
  <si>
    <t>BK9087S00031</t>
  </si>
  <si>
    <t>BK9087S00082</t>
  </si>
  <si>
    <t>BK9087S00065</t>
  </si>
  <si>
    <t>BK9087S00078</t>
  </si>
  <si>
    <t>BK9087S00004</t>
  </si>
  <si>
    <t>BK9087S00005</t>
  </si>
  <si>
    <t>BK9087S00032</t>
  </si>
  <si>
    <t>BK9087S00057</t>
  </si>
  <si>
    <t>BK9105S00007</t>
  </si>
  <si>
    <t>BK9105S00001</t>
  </si>
  <si>
    <t>BK9106S00007</t>
  </si>
  <si>
    <t>BK9106S00013</t>
  </si>
  <si>
    <t>BK9106S00012</t>
  </si>
  <si>
    <t>BK9106S00002</t>
  </si>
  <si>
    <t>BK9106S00003</t>
  </si>
  <si>
    <t>BK9106S00041</t>
  </si>
  <si>
    <t>BK9106S00015</t>
  </si>
  <si>
    <t>BK9107S00032</t>
  </si>
  <si>
    <t>BK9107S00002</t>
  </si>
  <si>
    <t>BK9107S00008</t>
  </si>
  <si>
    <t>BK9108S00008</t>
  </si>
  <si>
    <t>BK9108S00013</t>
  </si>
  <si>
    <t>BK9108S00007</t>
  </si>
  <si>
    <t>Primary cycle route</t>
  </si>
  <si>
    <t>Secondary cycle route</t>
  </si>
  <si>
    <t>ALICE ST</t>
  </si>
  <si>
    <t>ANDERSON ST</t>
  </si>
  <si>
    <t>ANNIE ST</t>
  </si>
  <si>
    <t>BOOMERANG ST</t>
  </si>
  <si>
    <t>BOWEN TCE</t>
  </si>
  <si>
    <t>BRIDGE ST</t>
  </si>
  <si>
    <t>BRIGHT STREET</t>
  </si>
  <si>
    <t>CAIRNS ST</t>
  </si>
  <si>
    <t>CORONATION DR</t>
  </si>
  <si>
    <t>DARRAGH ST</t>
  </si>
  <si>
    <t>EVANS ST</t>
  </si>
  <si>
    <t>GARDENS POINT RD</t>
  </si>
  <si>
    <t>GILCHRIST AVE</t>
  </si>
  <si>
    <t>GLENROSA RD</t>
  </si>
  <si>
    <t>GREGORY TCE</t>
  </si>
  <si>
    <t>HOLMAN ST</t>
  </si>
  <si>
    <t>ITHACA ST</t>
  </si>
  <si>
    <t>JANE ST</t>
  </si>
  <si>
    <t>LOWER RIVER TCE</t>
  </si>
  <si>
    <t>MACDONALD ST</t>
  </si>
  <si>
    <t>MONTAGUE RD</t>
  </si>
  <si>
    <t>NORTH QUAY</t>
  </si>
  <si>
    <t>PROSPECT ST</t>
  </si>
  <si>
    <t>QUEENS WHARF RD</t>
  </si>
  <si>
    <t>RIVER TCE</t>
  </si>
  <si>
    <t>RIVERVIEW COURT</t>
  </si>
  <si>
    <t>ROTHERHAM ST</t>
  </si>
  <si>
    <t>STANLEY ST</t>
  </si>
  <si>
    <t>WATERWORKS RD</t>
  </si>
  <si>
    <t>WHARF ST</t>
  </si>
  <si>
    <t>ADDISON ST</t>
  </si>
  <si>
    <t>BISHOP ST</t>
  </si>
  <si>
    <t>BLANDFORD ST</t>
  </si>
  <si>
    <t>CAMPBELL ST</t>
  </si>
  <si>
    <t>CHEVIOT ST</t>
  </si>
  <si>
    <t>DAMON RD</t>
  </si>
  <si>
    <t>DAVIDSON ST</t>
  </si>
  <si>
    <t>EDGAR ST</t>
  </si>
  <si>
    <t>FERRES STREET</t>
  </si>
  <si>
    <t>FIFTH AVE</t>
  </si>
  <si>
    <t>GALLWAY ST</t>
  </si>
  <si>
    <t>GAMELIN CRES</t>
  </si>
  <si>
    <t>GOULD RD</t>
  </si>
  <si>
    <t>GYMPIE RD</t>
  </si>
  <si>
    <t>HULME ST</t>
  </si>
  <si>
    <t>JEAN ST</t>
  </si>
  <si>
    <t>M3</t>
  </si>
  <si>
    <t>M7</t>
  </si>
  <si>
    <t>MARK ST</t>
  </si>
  <si>
    <t>MCCORD ST</t>
  </si>
  <si>
    <t>MCDONALD RD</t>
  </si>
  <si>
    <t>MORNINGTON ST</t>
  </si>
  <si>
    <t>MURRAY ST</t>
  </si>
  <si>
    <t>NOBLE ST</t>
  </si>
  <si>
    <t>NORMAN AVE</t>
  </si>
  <si>
    <t>SHAND ST</t>
  </si>
  <si>
    <t>SHAND STREET</t>
  </si>
  <si>
    <t>SOMERSET ST</t>
  </si>
  <si>
    <t>STAFFORD RD</t>
  </si>
  <si>
    <t>SWAN TCE</t>
  </si>
  <si>
    <t>TENNIS AVE</t>
  </si>
  <si>
    <t>THISTLE ST</t>
  </si>
  <si>
    <t>VICTORIA ST</t>
  </si>
  <si>
    <t>WEBSTER RD</t>
  </si>
  <si>
    <t>ALMA RD</t>
  </si>
  <si>
    <t>AMY ST</t>
  </si>
  <si>
    <t>COUTTS ST</t>
  </si>
  <si>
    <t>HARBOUR RD</t>
  </si>
  <si>
    <t>HIGGS ST</t>
  </si>
  <si>
    <t>KENBURY ST</t>
  </si>
  <si>
    <t>KINGSFORD SMITH DR</t>
  </si>
  <si>
    <t>NEWSTEAD TCE</t>
  </si>
  <si>
    <t>SERPENTINE RD</t>
  </si>
  <si>
    <t>ADDISON AVE</t>
  </si>
  <si>
    <t>BEELARONG ST</t>
  </si>
  <si>
    <t>LAIDLAW PDE</t>
  </si>
  <si>
    <t>LANDSDOWNE ST</t>
  </si>
  <si>
    <t>LYTTON RD</t>
  </si>
  <si>
    <t>MERTHYR ROAD</t>
  </si>
  <si>
    <t>NEWSTEAD TERRACE</t>
  </si>
  <si>
    <t>OXLADE DR</t>
  </si>
  <si>
    <t>SCOTT ST</t>
  </si>
  <si>
    <t>WATERLINE CRES</t>
  </si>
  <si>
    <t>BARNSDALE PL</t>
  </si>
  <si>
    <t>BARR ST</t>
  </si>
  <si>
    <t>BIRUBI ST</t>
  </si>
  <si>
    <t>CAMBRIDGE ST</t>
  </si>
  <si>
    <t>CASWELL ST</t>
  </si>
  <si>
    <t>CLARENCE ST</t>
  </si>
  <si>
    <t>CONSTANCE ST</t>
  </si>
  <si>
    <t>CORNWALL ST</t>
  </si>
  <si>
    <t>DESHON ST</t>
  </si>
  <si>
    <t>ESHER ST</t>
  </si>
  <si>
    <t>GLADSTONE LANE</t>
  </si>
  <si>
    <t>GLADYS ST</t>
  </si>
  <si>
    <t>JACKSON ST</t>
  </si>
  <si>
    <t>JULIETTE ST</t>
  </si>
  <si>
    <t>KNIGHT ST</t>
  </si>
  <si>
    <t>LINCOLN ST</t>
  </si>
  <si>
    <t>LONGLANDS ST</t>
  </si>
  <si>
    <t>NICHOLSON ST</t>
  </si>
  <si>
    <t>PANITYA ST</t>
  </si>
  <si>
    <t>RIDGE ST</t>
  </si>
  <si>
    <t>SEXTON ST</t>
  </si>
  <si>
    <t>SOUTH EAST FRWY</t>
  </si>
  <si>
    <t>SUNSHINE AVE</t>
  </si>
  <si>
    <t>TURBO DR</t>
  </si>
  <si>
    <t>VENICE ST</t>
  </si>
  <si>
    <t>VICTOR STREET</t>
  </si>
  <si>
    <t>VICTORIA TCE</t>
  </si>
  <si>
    <t>WILLIS ST</t>
  </si>
  <si>
    <t>ABINGDON ST</t>
  </si>
  <si>
    <t>ARNWOOD PL</t>
  </si>
  <si>
    <t>BRISBANE CSO</t>
  </si>
  <si>
    <t>HIRON ST</t>
  </si>
  <si>
    <t>MACQUARIE ST</t>
  </si>
  <si>
    <t>OKEEFE ST</t>
  </si>
  <si>
    <t>PARK RD</t>
  </si>
  <si>
    <t>ROSS ST</t>
  </si>
  <si>
    <t>SOUTH EAST FREEWAY</t>
  </si>
  <si>
    <t>BOUNDARY RD</t>
  </si>
  <si>
    <t>CARAWA ST</t>
  </si>
  <si>
    <t>FRANCIS TCE</t>
  </si>
  <si>
    <t>HILLSIDE TCE</t>
  </si>
  <si>
    <t>INDOOROOPILLY RD</t>
  </si>
  <si>
    <t>LAMBERT RD</t>
  </si>
  <si>
    <t>LEYBOURNE ST</t>
  </si>
  <si>
    <t>BARDON ESP</t>
  </si>
  <si>
    <t>BARNETT RD</t>
  </si>
  <si>
    <t>BOWMAN PDE</t>
  </si>
  <si>
    <t>CARWOOLA ST</t>
  </si>
  <si>
    <t>COOLIBAH ST</t>
  </si>
  <si>
    <t>COOPERS CAMP RD</t>
  </si>
  <si>
    <t>FLETCHER PDE</t>
  </si>
  <si>
    <t>JUBILEE TCE</t>
  </si>
  <si>
    <t>LORWARD AVENUE</t>
  </si>
  <si>
    <t>LUGG ST</t>
  </si>
  <si>
    <t>MILTON RD</t>
  </si>
  <si>
    <t>MONOPLANE ST</t>
  </si>
  <si>
    <t>MOUNT COOT THA ROAD</t>
  </si>
  <si>
    <t>NATHAN AVE</t>
  </si>
  <si>
    <t>SIMPSONS RD</t>
  </si>
  <si>
    <t>WESTERN FREEWAY</t>
  </si>
  <si>
    <t>ACACIA DR</t>
  </si>
  <si>
    <t>DUNDIBLE ST</t>
  </si>
  <si>
    <t>MIRRABOOKA RD</t>
  </si>
  <si>
    <t>ROYAL PARADE</t>
  </si>
  <si>
    <t>SOUTH PINE RD</t>
  </si>
  <si>
    <t>SOUTH PINE ROAD</t>
  </si>
  <si>
    <t>WANORA STREET</t>
  </si>
  <si>
    <t>BELLEVUE AVE</t>
  </si>
  <si>
    <t>BROOK ST</t>
  </si>
  <si>
    <t>BURWOOD RD</t>
  </si>
  <si>
    <t>HAMILTON RD</t>
  </si>
  <si>
    <t>HANRAN ST</t>
  </si>
  <si>
    <t>LADE ST</t>
  </si>
  <si>
    <t>LITTLE ST</t>
  </si>
  <si>
    <t>MCCONAGHY ST</t>
  </si>
  <si>
    <t>OSBORNE RD</t>
  </si>
  <si>
    <t>OSBORNE ROAD</t>
  </si>
  <si>
    <t>SAINT HELENS ROAD</t>
  </si>
  <si>
    <t>VAN DYKE CRES</t>
  </si>
  <si>
    <t>WOKING ST</t>
  </si>
  <si>
    <t>COLAC ST</t>
  </si>
  <si>
    <t>EDINBURGH CASTLE RD</t>
  </si>
  <si>
    <t>HEILBROMM STREET</t>
  </si>
  <si>
    <t>HODGKINSON STREET</t>
  </si>
  <si>
    <t>MAGGS ST</t>
  </si>
  <si>
    <t>MAUNDRELL TCE</t>
  </si>
  <si>
    <t>MURPHY RD</t>
  </si>
  <si>
    <t>REDBOURNE ST</t>
  </si>
  <si>
    <t>REMICK STREET</t>
  </si>
  <si>
    <t>RODE RD</t>
  </si>
  <si>
    <t>RODE ROAD</t>
  </si>
  <si>
    <t>RONMACK ST</t>
  </si>
  <si>
    <t>STRINGYBARK DR</t>
  </si>
  <si>
    <t>TERRACE ST</t>
  </si>
  <si>
    <t>WALPOLE ST</t>
  </si>
  <si>
    <t>WEBSTER ROAD</t>
  </si>
  <si>
    <t>BAGE ST</t>
  </si>
  <si>
    <t>BERTHA ST</t>
  </si>
  <si>
    <t>BILSEN RD</t>
  </si>
  <si>
    <t>CRESSEY ST</t>
  </si>
  <si>
    <t>DIGGERS DR</t>
  </si>
  <si>
    <t>GOSS RD</t>
  </si>
  <si>
    <t>HEDLEY AVE</t>
  </si>
  <si>
    <t>JEFFERIS ST</t>
  </si>
  <si>
    <t>LEWIS ST</t>
  </si>
  <si>
    <t>MAGENTA ST</t>
  </si>
  <si>
    <t>NEWMAN RD</t>
  </si>
  <si>
    <t>NUDGEE RD</t>
  </si>
  <si>
    <t>PARK AVE</t>
  </si>
  <si>
    <t>RAUBERS RD</t>
  </si>
  <si>
    <t>SANDGATE RD</t>
  </si>
  <si>
    <t>SANDGATE ROAD</t>
  </si>
  <si>
    <t>SHAW RD</t>
  </si>
  <si>
    <t>TOOMBUL TCE</t>
  </si>
  <si>
    <t>WELLINGTON ST</t>
  </si>
  <si>
    <t>WHITFIELD ST</t>
  </si>
  <si>
    <t>WIDDOP ST</t>
  </si>
  <si>
    <t>GATEWAY ARTERIAL RD</t>
  </si>
  <si>
    <t>GATEWAY MOTORWAY ON RAMP</t>
  </si>
  <si>
    <t>GATEWAY MOTORWAY</t>
  </si>
  <si>
    <t>KINGSFORD SMITH DRIVE</t>
  </si>
  <si>
    <t>LAMINGTON AVENUE</t>
  </si>
  <si>
    <t>LAVARACK AVENUE</t>
  </si>
  <si>
    <t>MURRARIE ROAD</t>
  </si>
  <si>
    <t>VIOLA PLACE</t>
  </si>
  <si>
    <t>ADMINISTRATION ROAD</t>
  </si>
  <si>
    <t>BORTHWICK AVE</t>
  </si>
  <si>
    <t>METROPLEX AVE</t>
  </si>
  <si>
    <t>PROPRIETARY ST</t>
  </si>
  <si>
    <t>QUEENSPORT ROAD</t>
  </si>
  <si>
    <t>STANTON RD</t>
  </si>
  <si>
    <t>WYNNUM RD</t>
  </si>
  <si>
    <t>ANZAC RD</t>
  </si>
  <si>
    <t>BANCHORY CT</t>
  </si>
  <si>
    <t>BEDIVERE ST</t>
  </si>
  <si>
    <t>BIRDWOOD RD</t>
  </si>
  <si>
    <t>CADOGAN ST</t>
  </si>
  <si>
    <t>CREEK RD</t>
  </si>
  <si>
    <t>DONNINGTON ST</t>
  </si>
  <si>
    <t>GAFFNEY ST</t>
  </si>
  <si>
    <t>GALLIPOLI RD</t>
  </si>
  <si>
    <t>MEADOWLANDS RD</t>
  </si>
  <si>
    <t>NYRANG ST</t>
  </si>
  <si>
    <t>OLD CLEVELAND RD</t>
  </si>
  <si>
    <t>PINE MOUNTAIN RD</t>
  </si>
  <si>
    <t>PRESTON RD</t>
  </si>
  <si>
    <t>SCRUB RD</t>
  </si>
  <si>
    <t>TURUBUL CRES</t>
  </si>
  <si>
    <t>WEEKES RD</t>
  </si>
  <si>
    <t>WHATMORE ST</t>
  </si>
  <si>
    <t>WINSTANLEY ST</t>
  </si>
  <si>
    <t>BELLBIRD CRES</t>
  </si>
  <si>
    <t>BLACKBERRY ST</t>
  </si>
  <si>
    <t>COORA ST</t>
  </si>
  <si>
    <t>COWELL STREET</t>
  </si>
  <si>
    <t>HAM RD</t>
  </si>
  <si>
    <t>KANE CRES</t>
  </si>
  <si>
    <t>MANSFIELD PL</t>
  </si>
  <si>
    <t>MT GRAVATT-CAPLBA RD</t>
  </si>
  <si>
    <t>OCONNOR CRES</t>
  </si>
  <si>
    <t>STACKPOLE ST</t>
  </si>
  <si>
    <t>TONES RD</t>
  </si>
  <si>
    <t>WECKER RD</t>
  </si>
  <si>
    <t>KESSELS RD</t>
  </si>
  <si>
    <t>KLUMPP RD</t>
  </si>
  <si>
    <t>KLUMPP ROAD</t>
  </si>
  <si>
    <t>LOGAN RD</t>
  </si>
  <si>
    <t>MARSHALL RD</t>
  </si>
  <si>
    <t>MT GRAVATT RD</t>
  </si>
  <si>
    <t>TOOHEY RD</t>
  </si>
  <si>
    <t>VINRAY ST</t>
  </si>
  <si>
    <t>DELVILLE AVE</t>
  </si>
  <si>
    <t>KING ARTHUR TCE</t>
  </si>
  <si>
    <t>LAURA ST</t>
  </si>
  <si>
    <t>MCCARTHY RD</t>
  </si>
  <si>
    <t>NEWINGTON ST</t>
  </si>
  <si>
    <t>PARAGON ST</t>
  </si>
  <si>
    <t>PEGG RD</t>
  </si>
  <si>
    <t>WINCOTT ST</t>
  </si>
  <si>
    <t>BURDEKIN DR</t>
  </si>
  <si>
    <t>COUNIHAN RD</t>
  </si>
  <si>
    <t>STRICKLAND TCE</t>
  </si>
  <si>
    <t>SVTN MILE ROCKS RD</t>
  </si>
  <si>
    <t>AMAZONS PL</t>
  </si>
  <si>
    <t>BROOKESIDE CRES</t>
  </si>
  <si>
    <t>CAPITOL DR</t>
  </si>
  <si>
    <t>CENTENARY HWY</t>
  </si>
  <si>
    <t>EDENBROOKE DR</t>
  </si>
  <si>
    <t>KOORINGAL DR</t>
  </si>
  <si>
    <t>MT OMMANEY DR</t>
  </si>
  <si>
    <t>MUSGRAVE ST</t>
  </si>
  <si>
    <t>PAMPLING ST</t>
  </si>
  <si>
    <t>BLACKBUTT PL</t>
  </si>
  <si>
    <t>FIG TREE POCKET RD</t>
  </si>
  <si>
    <t>GREENFORD ST</t>
  </si>
  <si>
    <t>KENSINGTON CRCT</t>
  </si>
  <si>
    <t>LAMBETH PL</t>
  </si>
  <si>
    <t>MABB STREET</t>
  </si>
  <si>
    <t>MOORFIELDS STREET</t>
  </si>
  <si>
    <t>REBECCA ST</t>
  </si>
  <si>
    <t>ALLAMANDA ST</t>
  </si>
  <si>
    <t>DILLON RD</t>
  </si>
  <si>
    <t>KAYS RD</t>
  </si>
  <si>
    <t>PAYNE RD</t>
  </si>
  <si>
    <t>RIAWEENA ST</t>
  </si>
  <si>
    <t>TANDARA ST</t>
  </si>
  <si>
    <t>WEEMALA ST</t>
  </si>
  <si>
    <t>CHAPROWE RD</t>
  </si>
  <si>
    <t>ILLOWRA ST</t>
  </si>
  <si>
    <t>PANGELA ST</t>
  </si>
  <si>
    <t>RIAWEENA STREET</t>
  </si>
  <si>
    <t>SETTLEMENT ROAD</t>
  </si>
  <si>
    <t>UPR KEDRON RD</t>
  </si>
  <si>
    <t>DUGGAN ST</t>
  </si>
  <si>
    <t>MCGINN RD</t>
  </si>
  <si>
    <t>UPPER KEDRON RD</t>
  </si>
  <si>
    <t>ALTHORP RD</t>
  </si>
  <si>
    <t>ARBOUR ST</t>
  </si>
  <si>
    <t>BANGALOW ST</t>
  </si>
  <si>
    <t>BANKSIA PL</t>
  </si>
  <si>
    <t>BECKETT RD</t>
  </si>
  <si>
    <t>COOLABAH CRES</t>
  </si>
  <si>
    <t>KARRI PL</t>
  </si>
  <si>
    <t>PARAMOUNT CRCT</t>
  </si>
  <si>
    <t>PROTEA PL</t>
  </si>
  <si>
    <t>AZALEA CRES</t>
  </si>
  <si>
    <t>BEAMS RD</t>
  </si>
  <si>
    <t>BOWDEN ST</t>
  </si>
  <si>
    <t>CAMBRIDGE CRES</t>
  </si>
  <si>
    <t>CARIBOU CRES</t>
  </si>
  <si>
    <t>DESERT WILLOW WAY</t>
  </si>
  <si>
    <t>DORVILLE RD</t>
  </si>
  <si>
    <t>FERNLEA ST</t>
  </si>
  <si>
    <t>HANDFORD RD</t>
  </si>
  <si>
    <t>HAWERA COURT</t>
  </si>
  <si>
    <t>HORN RD</t>
  </si>
  <si>
    <t>KAHLI PL</t>
  </si>
  <si>
    <t>KAKADU CRCT</t>
  </si>
  <si>
    <t>KENTIA ST</t>
  </si>
  <si>
    <t>LIVINGSTON CT</t>
  </si>
  <si>
    <t>NEMIRA ST</t>
  </si>
  <si>
    <t>NEMIRA STREET</t>
  </si>
  <si>
    <t>ODENSE ST</t>
  </si>
  <si>
    <t>PINE TREE CL</t>
  </si>
  <si>
    <t>ROSE CRES</t>
  </si>
  <si>
    <t>SILKYOAK CRCT</t>
  </si>
  <si>
    <t>TURRBAL PL</t>
  </si>
  <si>
    <t>WHIPBIRD PL</t>
  </si>
  <si>
    <t>ABERDEEN PDE</t>
  </si>
  <si>
    <t>CONWAY ST</t>
  </si>
  <si>
    <t>OAKOVER CT</t>
  </si>
  <si>
    <t>QUARRION ST</t>
  </si>
  <si>
    <t>SEAN ST</t>
  </si>
  <si>
    <t>STANWORTH RD</t>
  </si>
  <si>
    <t>ELLIOTT RD</t>
  </si>
  <si>
    <t>NUDGEE</t>
  </si>
  <si>
    <t>RAILWAY ST</t>
  </si>
  <si>
    <t>BEVERLEY ROAD</t>
  </si>
  <si>
    <t>BOUNDARY ST</t>
  </si>
  <si>
    <t>CASSANDRA CRES</t>
  </si>
  <si>
    <t>DARLING TCE</t>
  </si>
  <si>
    <t>DARLING TER</t>
  </si>
  <si>
    <t>LACHLAN DR</t>
  </si>
  <si>
    <t>MARGARET CRES</t>
  </si>
  <si>
    <t>MOSS RD</t>
  </si>
  <si>
    <t>MOSSVALE DR</t>
  </si>
  <si>
    <t>RADFORD RD</t>
  </si>
  <si>
    <t>ROPLEY ROAD</t>
  </si>
  <si>
    <t>TANTANI ST</t>
  </si>
  <si>
    <t>THORNLAKE CT</t>
  </si>
  <si>
    <t>TORRENS CRES</t>
  </si>
  <si>
    <t>WATERVALE PDE</t>
  </si>
  <si>
    <t>WONDALL RD</t>
  </si>
  <si>
    <t>MATTHEWS WAY</t>
  </si>
  <si>
    <t>PHILLIPS PL</t>
  </si>
  <si>
    <t>MT PETRIE RD</t>
  </si>
  <si>
    <t>REMBRANDT WAY</t>
  </si>
  <si>
    <t>CRAIG ST</t>
  </si>
  <si>
    <t>DAYDREAM PL</t>
  </si>
  <si>
    <t>DELAVAN ST</t>
  </si>
  <si>
    <t>DITMAS ST</t>
  </si>
  <si>
    <t>FREESIA ST</t>
  </si>
  <si>
    <t>GARDNER RD</t>
  </si>
  <si>
    <t>HOLMEAD RD</t>
  </si>
  <si>
    <t>KATE CCT</t>
  </si>
  <si>
    <t>KENSINGTON PLACE</t>
  </si>
  <si>
    <t>MAIBRY ST</t>
  </si>
  <si>
    <t>MAIBRY STREET</t>
  </si>
  <si>
    <t>MALINYA PL</t>
  </si>
  <si>
    <t>MILES PLATTING ROAD</t>
  </si>
  <si>
    <t>NARDIE ST</t>
  </si>
  <si>
    <t>PADSTOW ROAD</t>
  </si>
  <si>
    <t>REDFERS AVE</t>
  </si>
  <si>
    <t>VANDERBILT ST</t>
  </si>
  <si>
    <t>WARRIGAL RD</t>
  </si>
  <si>
    <t>WESTMINSTER WAY</t>
  </si>
  <si>
    <t>BARODA ST</t>
  </si>
  <si>
    <t>BEENLEIGH ROAD</t>
  </si>
  <si>
    <t>BLEASBY RD</t>
  </si>
  <si>
    <t>CATALPA ST</t>
  </si>
  <si>
    <t>CRESSBROOK ST</t>
  </si>
  <si>
    <t>DEW ST</t>
  </si>
  <si>
    <t>DIXON ST</t>
  </si>
  <si>
    <t>GADDES PLACE</t>
  </si>
  <si>
    <t>GRANADILLA ST</t>
  </si>
  <si>
    <t>JACINDA ST</t>
  </si>
  <si>
    <t>LEVEN ST</t>
  </si>
  <si>
    <t>MCCULLOUGH ST</t>
  </si>
  <si>
    <t>PINECONE ST</t>
  </si>
  <si>
    <t>TURNMILL ST</t>
  </si>
  <si>
    <t>WOFF ST</t>
  </si>
  <si>
    <t>WORRELL ST</t>
  </si>
  <si>
    <t>BEAUDESERT ROAD</t>
  </si>
  <si>
    <t>COLEY STREET</t>
  </si>
  <si>
    <t>FADDEN STREET</t>
  </si>
  <si>
    <t>REGIS ST</t>
  </si>
  <si>
    <t>BLUNDER RD</t>
  </si>
  <si>
    <t>EUGENIA ST</t>
  </si>
  <si>
    <t>FREEMAN RD</t>
  </si>
  <si>
    <t>KIMBERLEY ST</t>
  </si>
  <si>
    <t>LAVENDER ST</t>
  </si>
  <si>
    <t>LAWSON STREET</t>
  </si>
  <si>
    <t>ASHRIDGE RD</t>
  </si>
  <si>
    <t>BOUNDARY ROAD</t>
  </si>
  <si>
    <t>EBBERN ST</t>
  </si>
  <si>
    <t>IPSWICH MOTORWAY ON RAMP</t>
  </si>
  <si>
    <t>IPSWICH MOTORWAY</t>
  </si>
  <si>
    <t>KELLIHER ROAD</t>
  </si>
  <si>
    <t>KOKODA STREET</t>
  </si>
  <si>
    <t>MONIER RD</t>
  </si>
  <si>
    <t>ORCHARD RD</t>
  </si>
  <si>
    <t>QUEENSLAND RD</t>
  </si>
  <si>
    <t>ROAD</t>
  </si>
  <si>
    <t>SANANADA ST</t>
  </si>
  <si>
    <t>SPINE ST</t>
  </si>
  <si>
    <t>CRESWICK PL</t>
  </si>
  <si>
    <t>RIVERPOINT BLVD</t>
  </si>
  <si>
    <t>RIVERVIEW CLOSE</t>
  </si>
  <si>
    <t>SUMNERS RD</t>
  </si>
  <si>
    <t>WESTLAKE DRIVE</t>
  </si>
  <si>
    <t>RAFTING GROUND RD</t>
  </si>
  <si>
    <t>RAFTING GROUND ROAD</t>
  </si>
  <si>
    <t>LEVITT RD</t>
  </si>
  <si>
    <t>SELKIRK CRES</t>
  </si>
  <si>
    <t>THOMAS PL</t>
  </si>
  <si>
    <t>ALDEA CRCT</t>
  </si>
  <si>
    <t>BALD HILLS RD</t>
  </si>
  <si>
    <t>BRACKEN RIDGE RD</t>
  </si>
  <si>
    <t>CULLIMORE ST</t>
  </si>
  <si>
    <t>FEUERRIEGEL RD</t>
  </si>
  <si>
    <t>HOYLAND ST</t>
  </si>
  <si>
    <t>JODIE CT</t>
  </si>
  <si>
    <t>KYEEMA CRES</t>
  </si>
  <si>
    <t>NORRIS RD</t>
  </si>
  <si>
    <t>SNOOKER ST</t>
  </si>
  <si>
    <t>WICKFIELD ST</t>
  </si>
  <si>
    <t>BARFOOT ST</t>
  </si>
  <si>
    <t>BARRETT ST</t>
  </si>
  <si>
    <t>BUNGAMA ST</t>
  </si>
  <si>
    <t>CARL PL</t>
  </si>
  <si>
    <t>CHILDS ST</t>
  </si>
  <si>
    <t>CURLEW ST</t>
  </si>
  <si>
    <t>DENHAM ST</t>
  </si>
  <si>
    <t>DEPOT RD</t>
  </si>
  <si>
    <t>DORLOO ST</t>
  </si>
  <si>
    <t>FLINDERS PDE</t>
  </si>
  <si>
    <t>LEMKE RD</t>
  </si>
  <si>
    <t>MULLER RD</t>
  </si>
  <si>
    <t>RACECOURSE RD</t>
  </si>
  <si>
    <t>SANDERLING ST</t>
  </si>
  <si>
    <t>WOODCROFT ST</t>
  </si>
  <si>
    <t>PARK PDE</t>
  </si>
  <si>
    <t>CLARA ST</t>
  </si>
  <si>
    <t>CUSACK PDE</t>
  </si>
  <si>
    <t>WATERLOO ESP</t>
  </si>
  <si>
    <t>WYNNUM ESP</t>
  </si>
  <si>
    <t>WYNNUM NORTH ESP</t>
  </si>
  <si>
    <t>WYNNUM NORTH RD</t>
  </si>
  <si>
    <t>ANDREW ST</t>
  </si>
  <si>
    <t>ARAKURTA ST</t>
  </si>
  <si>
    <t>AUVERN ST</t>
  </si>
  <si>
    <t>BELTANA ST</t>
  </si>
  <si>
    <t>BOWERING ST</t>
  </si>
  <si>
    <t>BUDERIM ST</t>
  </si>
  <si>
    <t>CHELSEA RD</t>
  </si>
  <si>
    <t>ESPLANADE</t>
  </si>
  <si>
    <t>RAILWAY TCE</t>
  </si>
  <si>
    <t>ROYAL ESP</t>
  </si>
  <si>
    <t>SCHOONER CRCT</t>
  </si>
  <si>
    <t>WHITES RD</t>
  </si>
  <si>
    <t>BENIHAM ST</t>
  </si>
  <si>
    <t>BONEMILL RD</t>
  </si>
  <si>
    <t>ELITE ST</t>
  </si>
  <si>
    <t>ERVATAMIA ST</t>
  </si>
  <si>
    <t>GOLDEN AVE</t>
  </si>
  <si>
    <t>JAPONICA PL</t>
  </si>
  <si>
    <t>KAMERUKA ST</t>
  </si>
  <si>
    <t>ORANIA CRES</t>
  </si>
  <si>
    <t>ALGESTER RD</t>
  </si>
  <si>
    <t>EARNSHAW ST</t>
  </si>
  <si>
    <t>FORMBY ST</t>
  </si>
  <si>
    <t>LAUREL OAK DR</t>
  </si>
  <si>
    <t>RIDGEWOOD RD</t>
  </si>
  <si>
    <t>ALEXANDRINA CRCT</t>
  </si>
  <si>
    <t>BROOKLANDS CRCT</t>
  </si>
  <si>
    <t>CLIPPER ST</t>
  </si>
  <si>
    <t>COLLEGE AVE</t>
  </si>
  <si>
    <t>DAINTREE CL</t>
  </si>
  <si>
    <t>DURELLA ST</t>
  </si>
  <si>
    <t>FOREST LAKE BLVD</t>
  </si>
  <si>
    <t>FRESHWATER CRCT</t>
  </si>
  <si>
    <t>INALA AVE</t>
  </si>
  <si>
    <t>OXFORD PDE</t>
  </si>
  <si>
    <t>POINSETTIA ST</t>
  </si>
  <si>
    <t>WALLAROO WAY</t>
  </si>
  <si>
    <t>WONGA ST</t>
  </si>
  <si>
    <t>CARDWELL ST</t>
  </si>
  <si>
    <t>FORMATION ST</t>
  </si>
  <si>
    <t>GARDEN ROAD</t>
  </si>
  <si>
    <t>GOVERNMENT ROAD</t>
  </si>
  <si>
    <t>PROGRESS ROAD</t>
  </si>
  <si>
    <t>SIGNAC CL</t>
  </si>
  <si>
    <t>SPRINGFIELD PL</t>
  </si>
  <si>
    <t>WESTERN ARTERIAL ROAD ON RAMP</t>
  </si>
  <si>
    <t>WESTERN ARTERIAL ROAD</t>
  </si>
  <si>
    <t>GRANGE PL</t>
  </si>
  <si>
    <t>HORNIBROOK HIGHWAY</t>
  </si>
  <si>
    <t>HOUGHTON HIGHWAY</t>
  </si>
  <si>
    <t>NINETEENTH AVE</t>
  </si>
  <si>
    <t>TWENTY-FIFTH AVE</t>
  </si>
  <si>
    <t>MITCHELL PL</t>
  </si>
  <si>
    <t>VICTORIA CRES</t>
  </si>
  <si>
    <t>BILLABONG PL</t>
  </si>
  <si>
    <t>FLINDERS ESP</t>
  </si>
  <si>
    <t>GREENWAYS ESP</t>
  </si>
  <si>
    <t>PINEDALE CRES</t>
  </si>
  <si>
    <t>TRALEE PL</t>
  </si>
  <si>
    <t>WALLUM DR</t>
  </si>
  <si>
    <t>BRIGHTON PDE</t>
  </si>
  <si>
    <t>CENTENNIAL WAY</t>
  </si>
  <si>
    <t>HAMPSTEAD ST</t>
  </si>
  <si>
    <t>PAVER</t>
  </si>
  <si>
    <t>CONCRETE</t>
  </si>
  <si>
    <t>ASHPALT</t>
  </si>
  <si>
    <t>Surface Area (m2)</t>
  </si>
  <si>
    <t>FIXED RIVERWALK</t>
  </si>
  <si>
    <t>FLOATING RIVERWALK</t>
  </si>
  <si>
    <t>FLOATING RIVERWALK -  OPENING BRIDGE SECTION</t>
  </si>
  <si>
    <t>RK : CULTURAL CENTRE</t>
  </si>
  <si>
    <t>RK : BICENTENNIAL BIKEWAY</t>
  </si>
  <si>
    <t>RK : AMITY HOUSE</t>
  </si>
  <si>
    <t>RK : CT WHITE PARK PARK:0680 RIVER TCE PARK</t>
  </si>
  <si>
    <t>RK : MARINERS REACH</t>
  </si>
  <si>
    <t>RK : CUTTERS LANDING NORTH</t>
  </si>
  <si>
    <t>RK : CUTTERS LANDING SOUTH</t>
  </si>
  <si>
    <t>RK : 1 MACQUARIE ST NEWSTEAD</t>
  </si>
  <si>
    <t>RK : CATALINA</t>
  </si>
  <si>
    <t>RK : FRESHWATER</t>
  </si>
  <si>
    <t>RK : BOUNDARY ST</t>
  </si>
  <si>
    <t>RK : CUSTOM HOUSE</t>
  </si>
  <si>
    <t>RK : RIYALA</t>
  </si>
  <si>
    <t>RK : RIVER PLACE</t>
  </si>
  <si>
    <t>RK : ADMIRALTY QUAYS</t>
  </si>
  <si>
    <t>RK : ADMIRALTY TOWERS I</t>
  </si>
  <si>
    <t>RK : ADMIRALTY TOWERS II</t>
  </si>
  <si>
    <t>RK : ALCAN</t>
  </si>
  <si>
    <t>RK : 175 EAGLE STREET</t>
  </si>
  <si>
    <t>RK : RIVERSIDE CENTRE</t>
  </si>
  <si>
    <t>RK : RIPARIAN PLAZA</t>
  </si>
  <si>
    <t>RK : EAGLE ST PIER</t>
  </si>
  <si>
    <t>RK : STAMFORD PLAZA</t>
  </si>
  <si>
    <t>RK : CUTTERS LANDING TO POWER HOUSE</t>
  </si>
  <si>
    <t>RK : MON REVE</t>
  </si>
  <si>
    <t>RK : 167 EAGLE STREET</t>
  </si>
  <si>
    <t>RK : WATERFRONT PLACE</t>
  </si>
  <si>
    <t>RK : MERTHYR RD NEW FARM</t>
  </si>
  <si>
    <t>ALB-SP-004</t>
  </si>
  <si>
    <t>BHI-SP-002</t>
  </si>
  <si>
    <t>BRD-SP-001</t>
  </si>
  <si>
    <t>BRD-SP-002</t>
  </si>
  <si>
    <t>CAR-SP-002</t>
  </si>
  <si>
    <t>CDE-SP-001</t>
  </si>
  <si>
    <t>CDE-SP-002</t>
  </si>
  <si>
    <t>CDL-SP-010</t>
  </si>
  <si>
    <t>CHE-SP-010</t>
  </si>
  <si>
    <t>DAR-SP-004</t>
  </si>
  <si>
    <t>DOO-SP-001</t>
  </si>
  <si>
    <t>DUR-SP-002</t>
  </si>
  <si>
    <t>EAB-SP-001</t>
  </si>
  <si>
    <t>EAF-SP-003</t>
  </si>
  <si>
    <t>ENG-SB-001</t>
  </si>
  <si>
    <t>FLK-SP-002</t>
  </si>
  <si>
    <t>HEA-SP-001</t>
  </si>
  <si>
    <t>HER-SP-001</t>
  </si>
  <si>
    <t>HPW-SP-004</t>
  </si>
  <si>
    <t>KAN-SP-002</t>
  </si>
  <si>
    <t>KUR-SP-003</t>
  </si>
  <si>
    <t>MDW-SP-002</t>
  </si>
  <si>
    <t>MGE-SP-001</t>
  </si>
  <si>
    <t>MIT-SP-003</t>
  </si>
  <si>
    <t>MKA-SP-003</t>
  </si>
  <si>
    <t>MKA-SP-005</t>
  </si>
  <si>
    <t>MOR-SP-001</t>
  </si>
  <si>
    <t>OXY-SP-001</t>
  </si>
  <si>
    <t>OXY-SP-002</t>
  </si>
  <si>
    <t>ROC-SP-002</t>
  </si>
  <si>
    <t>RUN-SP-002</t>
  </si>
  <si>
    <t>SAL-SP-002</t>
  </si>
  <si>
    <t>SAL-SP-003</t>
  </si>
  <si>
    <t>SAL-SP-004</t>
  </si>
  <si>
    <t>SIP-SB-001</t>
  </si>
  <si>
    <t>SIP-SP-001</t>
  </si>
  <si>
    <t>SIP-SP-002</t>
  </si>
  <si>
    <t>SIP-SP-003</t>
  </si>
  <si>
    <t>SLU-SP-001</t>
  </si>
  <si>
    <t>STF-SP-001</t>
  </si>
  <si>
    <t>TOO-SP-002</t>
  </si>
  <si>
    <t>TRF-RW-001</t>
  </si>
  <si>
    <t>WCL-SP-004</t>
  </si>
  <si>
    <t>WSR-SP-001</t>
  </si>
  <si>
    <t>APT153</t>
  </si>
  <si>
    <t>APT173</t>
  </si>
  <si>
    <t>APT215, APT195</t>
  </si>
  <si>
    <t>APT92</t>
  </si>
  <si>
    <t>APT235</t>
  </si>
  <si>
    <t>APT112</t>
  </si>
  <si>
    <t>APT270</t>
  </si>
  <si>
    <t>APT311</t>
  </si>
  <si>
    <t>APT213</t>
  </si>
  <si>
    <t>APT154, APT155</t>
  </si>
  <si>
    <t>APT310</t>
  </si>
  <si>
    <t>APT131</t>
  </si>
  <si>
    <t>APT111</t>
  </si>
  <si>
    <t>APT129</t>
  </si>
  <si>
    <t>APT152</t>
  </si>
  <si>
    <t>APT233</t>
  </si>
  <si>
    <t>APT130</t>
  </si>
  <si>
    <t>APT252</t>
  </si>
  <si>
    <t>APT174</t>
  </si>
  <si>
    <t>APT114</t>
  </si>
  <si>
    <t>APT251, APT270, APT271</t>
  </si>
  <si>
    <t>APT271</t>
  </si>
  <si>
    <t>APT290</t>
  </si>
  <si>
    <t>APT275</t>
  </si>
  <si>
    <t>APT294</t>
  </si>
  <si>
    <t>APT253, APT252</t>
  </si>
  <si>
    <t>APT250</t>
  </si>
  <si>
    <t>APT211</t>
  </si>
  <si>
    <t>APT132</t>
  </si>
  <si>
    <t>APT191</t>
  </si>
  <si>
    <t>Albion Bikeway (Cooksley Street to Crosby Park)</t>
  </si>
  <si>
    <t>South Pine River Bikeway (Wyampa Road to Kluver Street)</t>
  </si>
  <si>
    <t>Cabbage Tree Creek Bikeway  (Kensington Place Park to Albany Creek Road)</t>
  </si>
  <si>
    <t>Cabbage Tree Creek Bikeway  (Albany Creek Road to Coolabah Crescent Park)</t>
  </si>
  <si>
    <t>Carina Bikeway (Fursden Road to Meadowlands Road)</t>
  </si>
  <si>
    <t>Cabbage Tree Creek Bikeway (Coonawarra Drive to Kentia Street Park)</t>
  </si>
  <si>
    <t>Cabbage Tree Creek Bikeway (Kentia Street Park to Kensington Place Park)</t>
  </si>
  <si>
    <t>Bulimba Creek Bikeway (Scrub Road to Eromanga Street Park)</t>
  </si>
  <si>
    <t>Downfall Creek Bikeway (Gympie Road Underpass)</t>
  </si>
  <si>
    <t>Blunder Creek Bikeway (Armisfield Street to Peacock Street)</t>
  </si>
  <si>
    <t>Blunder Creek Bikeway (Adeline Street to Messara Circuit)</t>
  </si>
  <si>
    <t>Kingfisher Creek Bikeway (Withington Street to Caswell Street)</t>
  </si>
  <si>
    <t>Kingsford Smith Drive Bikeway (Schneider Road to Viola Place)</t>
  </si>
  <si>
    <t>Kedron Brook Bikeway (Enoggera Memorial Park to northern side of creek)</t>
  </si>
  <si>
    <t>Bullockhead Creek Bikeway (Lilydale Place to Waterford Road)</t>
  </si>
  <si>
    <t>Heathwood Bikeway (Stapylton Road to Euengella Terrace Park)</t>
  </si>
  <si>
    <t>Enoggera Creek Bikeway (Clyde Road to Gould Road Park)</t>
  </si>
  <si>
    <t>Glindemann Creek Bikeway (Birdwood Road Park to Joachim Street Park)</t>
  </si>
  <si>
    <t>Kangaroo Point  Bikeway  (Goodwill Bridge to Thornton Street)</t>
  </si>
  <si>
    <t>Kuraby Bikeway (Millers Road to Saint George Street plus links to Pioneer Drive and Edwin Street)</t>
  </si>
  <si>
    <t>Cabbage Tree Creek Bikeway (Hamilton Road to Old Northern Road)</t>
  </si>
  <si>
    <t>Salvin Creek Bikeway (Creek Road to Pine Mountain Road)</t>
  </si>
  <si>
    <t>Kedron Brook Bikeway (Cribb Avenue to Oxford Grove Park)</t>
  </si>
  <si>
    <t>Rocky Water Holes Creek Bikeway (Muriel Avenue to John Bright Street)</t>
  </si>
  <si>
    <t>Rocky Water Holes Creek Bikeway (Gladstone Street to Beaudesert Road)</t>
  </si>
  <si>
    <t>Perrin Creek Bikeway (Algoori Street to Beelarong Street)</t>
  </si>
  <si>
    <t>Oxley Bikeway (Englefield Road to Douglas Street - southern side of railway line)</t>
  </si>
  <si>
    <t>Oxley Bikeway (Douglas Street to Oxley Station Road - southern side of railway line)</t>
  </si>
  <si>
    <t>Rochedale Bikeway (Cooper Crescent to Prebble Street plus link to Gardner Road)</t>
  </si>
  <si>
    <t>Runcorn Bikeway (Glenefer Street to Beenleigh Road)</t>
  </si>
  <si>
    <t>Rocky Water Holes Creek Bikeway (McCarthy Road to Precision Street)</t>
  </si>
  <si>
    <t>Rocky Water Holes Creek Bikeway (Precision Street to Assembly Street)</t>
  </si>
  <si>
    <t>Rocky Water Holes Creek Bikeway (Assembly Street to Beaudesert Road)</t>
  </si>
  <si>
    <t>Jindalee Creek Bikeway (Bridge over Jindalee Creek)</t>
  </si>
  <si>
    <t>Jindalee Creek Bikeway (Oldfield Road to Centenary Motorway)</t>
  </si>
  <si>
    <t>Jindalee Creek Bikeway (Oldfield Road (west) to Jindalee Creek)</t>
  </si>
  <si>
    <t>Jindalee Creek Bikeway (Jindalee Creek to Seventeen Mile Rocks Road)</t>
  </si>
  <si>
    <t>Gailey Road Bikeway (Sandford Street to Gailey Road)</t>
  </si>
  <si>
    <t>Kedron Brook Bikeway (Shand Street Park to Bilston Street Park)</t>
  </si>
  <si>
    <t>Bicentennial Bikeway - Stage 5 (Regatta Park to Glen Road)</t>
  </si>
  <si>
    <t>Teneriffe (Riverside of 17-37 Skyring Terrace, Teneriffe)</t>
  </si>
  <si>
    <t>Bullockhead Creek Bikeway (Ipswich Motorway ramp to Boundary Road)</t>
  </si>
  <si>
    <t>Enoggera Creek Bikeway (Under ICB Bridge to Lutwyche Road)</t>
  </si>
  <si>
    <t>Cycle Route (Secondary)</t>
  </si>
  <si>
    <t>Cycle Route (Primary)</t>
  </si>
  <si>
    <t>RiverWalk</t>
  </si>
  <si>
    <t>Future Trunk Assets (&amp; Catchments Served)</t>
  </si>
  <si>
    <t>Existing Trunk Assets (&amp; Catchments Served)</t>
  </si>
  <si>
    <t>Pathway network</t>
  </si>
  <si>
    <t>Catchment Demand (Person trips per day)</t>
  </si>
  <si>
    <t>Apollo Road</t>
  </si>
  <si>
    <t>Apollo Rd, Bulimba (CityCat)</t>
  </si>
  <si>
    <t>Bretts Wharf</t>
  </si>
  <si>
    <t>Kingsford Smith Drive, Hamilton (CityCat)</t>
  </si>
  <si>
    <t>Bulimba</t>
  </si>
  <si>
    <t>Oxford St, Bulimba (CityCat &amp; Ferry)</t>
  </si>
  <si>
    <t>Teneriffe (new)</t>
  </si>
  <si>
    <t>Commercial Rd, Teneriffe (City Cat &amp; Ferry)</t>
  </si>
  <si>
    <t>Gardens Point (QUT)</t>
  </si>
  <si>
    <t>Alice Street, Brisbane City (CityCat &amp; Ferry)</t>
  </si>
  <si>
    <t>Guyatt Park</t>
  </si>
  <si>
    <t>Macquarie St, St Lucia (CityCat)</t>
  </si>
  <si>
    <t>Hawthorne</t>
  </si>
  <si>
    <t>Gordon St, Hawthorne (CityCat)</t>
  </si>
  <si>
    <t>Holman Street</t>
  </si>
  <si>
    <t>Holman St, Kangaroo Point (Ferry)</t>
  </si>
  <si>
    <t>Mowbray Park</t>
  </si>
  <si>
    <t>Park Avenue, East Brisbane (CityCat &amp; Ferry)</t>
  </si>
  <si>
    <t>New Farm Park</t>
  </si>
  <si>
    <t>Brunswick Street, New Farm (CityCat)</t>
  </si>
  <si>
    <t>Norman Park</t>
  </si>
  <si>
    <t>Wynnum Rd, Norman Park (Ferry only)</t>
  </si>
  <si>
    <t>North Quay 1 &amp; 2</t>
  </si>
  <si>
    <t>Queens Wharf Rd, North Quay (CityCat &amp; Ferry)</t>
  </si>
  <si>
    <t>Regatta</t>
  </si>
  <si>
    <t>Coronation Drive, Toowong (CityCat)</t>
  </si>
  <si>
    <t>River Plaza (Maritime Museum)</t>
  </si>
  <si>
    <t>Dock Street, South Brisbane (Ferry)</t>
  </si>
  <si>
    <t>Riverside 1 &amp; 2</t>
  </si>
  <si>
    <t>Eagle Street, Brisbane (CityCat)</t>
  </si>
  <si>
    <t>South Bank 1 &amp; 2</t>
  </si>
  <si>
    <t>Southbank Parklands (City Cat)</t>
  </si>
  <si>
    <t>Sydney Street</t>
  </si>
  <si>
    <t>Sydney Street, New Farm (CityCat &amp; Ferry)</t>
  </si>
  <si>
    <t>Thornton Street</t>
  </si>
  <si>
    <t>Thornton Street, Kangaroo Point (Ferry)</t>
  </si>
  <si>
    <t>The University of Queensland</t>
  </si>
  <si>
    <t>Sir William Macgregor Drive, St Lucia (CityCat)</t>
  </si>
  <si>
    <t xml:space="preserve">West End </t>
  </si>
  <si>
    <t>Hoogley Street, West End (CityCat)</t>
  </si>
  <si>
    <t>Dockside*</t>
  </si>
  <si>
    <t>Ferry Street, Kangaroo Point (Ferry)</t>
  </si>
  <si>
    <t>Eagle Street</t>
  </si>
  <si>
    <t>Eagle Street, Brisbane City (Ferry)</t>
  </si>
  <si>
    <t>South Bank 3</t>
  </si>
  <si>
    <t>Southbank Parklands (Ferry)</t>
  </si>
  <si>
    <t>Northshore Hamilton</t>
  </si>
  <si>
    <t>Macarthur Ave, Hamilton (CityCat)</t>
  </si>
  <si>
    <t>Marine Straddle Carrier</t>
  </si>
  <si>
    <t>Rivergate Marina, Rivergate Pl, Murrarie</t>
  </si>
  <si>
    <t>Milton Ferry Terminal (18/1/15)</t>
  </si>
  <si>
    <t>Coronation Drive, Milton</t>
  </si>
  <si>
    <t>Ferry</t>
  </si>
  <si>
    <t>Utility Rate</t>
  </si>
  <si>
    <t>Utility Cost</t>
  </si>
  <si>
    <t>APT193</t>
  </si>
  <si>
    <t>DDA compliance, flood resilience</t>
  </si>
  <si>
    <t>Ferry terminal - upgrade</t>
  </si>
  <si>
    <t>Y</t>
  </si>
  <si>
    <t>EAB-FT-001</t>
  </si>
  <si>
    <t>Mowbray Park Ferry Terminal</t>
  </si>
  <si>
    <t>KAN-FT-003</t>
  </si>
  <si>
    <t>Dockside Ferry Terminal</t>
  </si>
  <si>
    <t>Upgrade</t>
  </si>
  <si>
    <t>NWF-FT-002</t>
  </si>
  <si>
    <t>APT192</t>
  </si>
  <si>
    <t>SBR-FT-002</t>
  </si>
  <si>
    <t>South Bank 1 and 2 Ferry Terminal</t>
  </si>
  <si>
    <t>SBR-FT-003</t>
  </si>
  <si>
    <t>APT212</t>
  </si>
  <si>
    <t>SLU-FT-002</t>
  </si>
  <si>
    <t>Ferry network</t>
  </si>
  <si>
    <t>Ferry terminal - new</t>
  </si>
  <si>
    <t>New</t>
  </si>
  <si>
    <t>Future Trunk Assets - Pathway</t>
  </si>
  <si>
    <t>Future Trunk Assets - Ferry</t>
  </si>
  <si>
    <t>FVA-FT-001</t>
  </si>
  <si>
    <t>KAN-GB-001</t>
  </si>
  <si>
    <t>NWS-GB-001</t>
  </si>
  <si>
    <t>IND-RW-001</t>
  </si>
  <si>
    <t>PAL-SP-001</t>
  </si>
  <si>
    <t>PAL-SP-002</t>
  </si>
  <si>
    <t>APT312</t>
  </si>
  <si>
    <t>Pallara Bikeway (Sweets Road to Vied Road)</t>
  </si>
  <si>
    <t>Pallara Bikeway (Kraft Road to Sweets Road)</t>
  </si>
  <si>
    <t>Howard Smith Wharves Ferry Terminal</t>
  </si>
  <si>
    <t>Kangaroo Point Green Bridge</t>
  </si>
  <si>
    <t>Breakfast Creek Green Bridge</t>
  </si>
  <si>
    <t>Indooroopilly Riverwalk (Witton Road to Witton Barracks)</t>
  </si>
  <si>
    <t>Spare Capacity</t>
  </si>
  <si>
    <t>Share of the total Cost with the same year of provision %</t>
  </si>
  <si>
    <t xml:space="preserve"> % of cost which is relevant for Summary Cost Calculation</t>
  </si>
  <si>
    <t>For Summary Cost Calculation</t>
  </si>
  <si>
    <t>Cost Allocation for Service Cost Schedule</t>
  </si>
  <si>
    <r>
      <rPr>
        <sz val="12"/>
        <color theme="1"/>
        <rFont val="Wingdings"/>
        <charset val="2"/>
      </rPr>
      <t>l</t>
    </r>
    <r>
      <rPr>
        <sz val="12"/>
        <color theme="1"/>
        <rFont val="Calibri"/>
        <family val="2"/>
      </rPr>
      <t xml:space="preserve"> Summary of forecast Cap X and anticipated IC revenues</t>
    </r>
    <r>
      <rPr>
        <sz val="11"/>
        <color theme="1"/>
        <rFont val="Calibri"/>
        <family val="2"/>
      </rPr>
      <t>. Refer to Revenue and Cash Flow model for output.</t>
    </r>
  </si>
  <si>
    <t>BCC</t>
  </si>
  <si>
    <t>Cabbage Tree Creek Bikeway  (Terraldon Place to Albany Creek Road)</t>
  </si>
  <si>
    <t>APT71</t>
  </si>
  <si>
    <t>Bridgeman Downs Bikeway (Neville Road to Bridgeman Road)</t>
  </si>
  <si>
    <t>Bridgeman Downs Bikeway (Bridgeman Road to Retreat Street)</t>
  </si>
  <si>
    <t>Bulimba Riverwalk (Riverside of 1-5 McConnell Street, and 3-69 Byron Street, Bulimba)</t>
  </si>
  <si>
    <t>Morningside Riverwalk (Apollo Road to Taylor Street)</t>
  </si>
  <si>
    <t>Creek Road (Murarrie to Mount Gravatt)</t>
  </si>
  <si>
    <t>Oxley Bikeway (Harcourt Road to Englefield Road (southern side of railway line)</t>
  </si>
  <si>
    <t>CBD - Ipswich Road bikeway (Centenary Motorway connection)</t>
  </si>
  <si>
    <t>Kangaroo Point Riverwalk (Dockside Ferry Terminal to Mowbray Park)</t>
  </si>
  <si>
    <t>Ellen Grove to Forest Lake Bikeway (Bagnall Street to Considine Street)</t>
  </si>
  <si>
    <t>Ellen Grove to Forest Lake Bikeway (Lovat Street to Bagnall Street)</t>
  </si>
  <si>
    <t>Ellen Grove to Forest Lake Bikeway (Woogaroo Street to Lovat Street)</t>
  </si>
  <si>
    <t>Cedar Creek Bikeway (Keperra Picnic Ground Park to Nelson Place Park)</t>
  </si>
  <si>
    <t>Gaythorne Bikeway (QR Railway parallel to Bellevue Ave)</t>
  </si>
  <si>
    <t>Kangaroo Point  Bikeway  (Veloway 1 Cycleway to Thornton Street)</t>
  </si>
  <si>
    <t>Kedron Brook South near Brookside centre (Northmore Street to Burwood Road)</t>
  </si>
  <si>
    <t>Mitchelton Bikeway (parallel to QR Railway between Prospect Road and Osborne Road)</t>
  </si>
  <si>
    <t>Morningside Riverwalk (Colmslie Recreation Reserve to Colmslie Beach Reserve)</t>
  </si>
  <si>
    <t>Morningside Riverwalk (Taylor Street to Colmslie Recreation Reserve)</t>
  </si>
  <si>
    <t>APT175</t>
  </si>
  <si>
    <t>Junction Road bikeway (Colmslie Road to Metroplex Avenue)</t>
  </si>
  <si>
    <t>Acacia Avenue - Railway Parade Bikeway (Holland Street to Acacia Avenue along QR Railway)</t>
  </si>
  <si>
    <t>Pallara Bikeway (Kraft Road to Laxton Road)</t>
  </si>
  <si>
    <t>Pallara Bikeway (Laxton Road to Van Dieren Road)</t>
  </si>
  <si>
    <t>Pallara Bikeway (Van Dieren Road to Devries Road)</t>
  </si>
  <si>
    <t>Blunder Creek Bikeway (Blunder Road to Ritchie Road)</t>
  </si>
  <si>
    <t>PIN-SP-001</t>
  </si>
  <si>
    <t>Richlands Bikeway (Teraba Street to Bendara Street)</t>
  </si>
  <si>
    <t>Rocky Water Holes Creek Bikeway (connection to Rocklea Station)</t>
  </si>
  <si>
    <t>Oxley Greenway (Kendall Street - Ipswich Motorway)</t>
  </si>
  <si>
    <t>Oxley Greenway (Cliveden Avenue - Kendall Street)</t>
  </si>
  <si>
    <t>APT251</t>
  </si>
  <si>
    <t>Oxley Greenway (Sherwood Road - Pony Club)</t>
  </si>
  <si>
    <t>Bulimba Creek Bikeway (Bonemill Road Park)</t>
  </si>
  <si>
    <t>APT314</t>
  </si>
  <si>
    <t>Bulimba Creek Bikeway (Cannon Hill to Runcorn) - Chelsea Street Park to Glenefer Street Park section</t>
  </si>
  <si>
    <t>Kedron Brook Bikeway (Stafford Shopping Centre to Bilston Street Park)</t>
  </si>
  <si>
    <t>Green Bridge</t>
  </si>
  <si>
    <t>St Lucia to West End Green Bridge</t>
  </si>
  <si>
    <t>Oxley Greenway (Sherwood Road – Oxley Common)</t>
  </si>
  <si>
    <t>APT196</t>
  </si>
  <si>
    <t>Greenslade Street Bikeway (Greenslade Street to Wynnum Road)</t>
  </si>
  <si>
    <t>Toowong to West End Green Bridge</t>
  </si>
  <si>
    <t>Cedar Creek Bikeway (Levitt Road to Canvey Road)</t>
  </si>
  <si>
    <t>Cedar Creek Bikeway (Levitt Road to Kirralee Crescent)</t>
  </si>
  <si>
    <t>Bulimba Creek Bikeway (Delavan Street Park to Wishart community Park)</t>
  </si>
  <si>
    <t>New Ferry Terminal</t>
  </si>
  <si>
    <t>Eagle Street Ferry Terminal</t>
  </si>
  <si>
    <t>Apollo Road Ferry Terminal</t>
  </si>
  <si>
    <t>Victoria Street Ferry Terminal</t>
  </si>
  <si>
    <t>KAN-SP-004</t>
  </si>
  <si>
    <t>Demand (2022-2036)</t>
  </si>
  <si>
    <t>Guyatt Park Ferry terminal</t>
  </si>
  <si>
    <t>South Bank 3 Ferry terminal</t>
  </si>
  <si>
    <t>New Farm Park Ferry terminal</t>
  </si>
  <si>
    <t>Replacement Cost</t>
  </si>
  <si>
    <t>ALB-SB-001</t>
  </si>
  <si>
    <t>BRD-SP-003</t>
  </si>
  <si>
    <t>BRD-SP-005</t>
  </si>
  <si>
    <t>BRD-SP-006</t>
  </si>
  <si>
    <t>CDL-SP-011</t>
  </si>
  <si>
    <t>CHE-SP-011</t>
  </si>
  <si>
    <t>ELG-SP-003</t>
  </si>
  <si>
    <t>ELG-SP-004</t>
  </si>
  <si>
    <t>ELG-SP-005</t>
  </si>
  <si>
    <t>FGR-SP-006</t>
  </si>
  <si>
    <t>GTN-SP-003</t>
  </si>
  <si>
    <t>GTN-SP-004</t>
  </si>
  <si>
    <t>KAN-RW-004</t>
  </si>
  <si>
    <t>MIT-SP-008</t>
  </si>
  <si>
    <t>MIT-SP-009</t>
  </si>
  <si>
    <t>MOR-RW-001</t>
  </si>
  <si>
    <t>MOR-RW-002</t>
  </si>
  <si>
    <t>MUR-SP-006</t>
  </si>
  <si>
    <t>NOG-SP-003</t>
  </si>
  <si>
    <t>OXY-SP-009</t>
  </si>
  <si>
    <t>PAL-SP-003</t>
  </si>
  <si>
    <t>PAL-SP-004</t>
  </si>
  <si>
    <t>PAL-SP-005</t>
  </si>
  <si>
    <t>PAL-SP-007</t>
  </si>
  <si>
    <t>ROC-SP-017</t>
  </si>
  <si>
    <t>ROK-SP-005</t>
  </si>
  <si>
    <t>ROK-SP-006</t>
  </si>
  <si>
    <t>RUN-SP-007</t>
  </si>
  <si>
    <t>RUN-SP-008</t>
  </si>
  <si>
    <t>STF-SP-002</t>
  </si>
  <si>
    <t>SWD-SP-002</t>
  </si>
  <si>
    <t>TIN-SP-006</t>
  </si>
  <si>
    <t>TOO-GB-001</t>
  </si>
  <si>
    <t>UKE-SP-007</t>
  </si>
  <si>
    <t>UKE-SP-008</t>
  </si>
  <si>
    <t>WIS-SP-004</t>
  </si>
  <si>
    <t>BNE-FT-005</t>
  </si>
  <si>
    <t>BUL-FT-003</t>
  </si>
  <si>
    <t>WES-FT-002</t>
  </si>
  <si>
    <t>SLU-GB-001</t>
  </si>
  <si>
    <t>Ferry Terminal Upgrade</t>
  </si>
  <si>
    <t>Length (m)</t>
  </si>
  <si>
    <t>Hierarchy/Name</t>
  </si>
  <si>
    <t>Direct Construction Cost</t>
  </si>
  <si>
    <t>Construction Contingency Rate %</t>
  </si>
  <si>
    <t>Project Owners Cost (23% Direct Construction Cost)($)</t>
  </si>
  <si>
    <t>Establishment Cost</t>
  </si>
  <si>
    <t>Year of Provision</t>
  </si>
  <si>
    <t>Renewal (%)</t>
  </si>
  <si>
    <t>Spare Capacity (%)</t>
  </si>
  <si>
    <t>Terminal Value Analysis</t>
  </si>
  <si>
    <t>Terminal Value Adjustment (%)</t>
  </si>
  <si>
    <t>Establishment Cost (Escalated)</t>
  </si>
  <si>
    <t>Net Present Value of Establishment Cost</t>
  </si>
  <si>
    <t>NPV Establishment Cost after Terminal Value Adjustment</t>
  </si>
  <si>
    <t>Applicable to project year of provision at 2029 or 2034</t>
  </si>
  <si>
    <t>Total Construction Cost ($)</t>
  </si>
  <si>
    <t>Size of Land (m2)</t>
  </si>
  <si>
    <t>Construction Unit Rate ($/m)</t>
  </si>
  <si>
    <t>Land Unit Rate ($/m2)</t>
  </si>
  <si>
    <t>Capital Indexation Rates - Historical (Mar Qtr.)</t>
  </si>
  <si>
    <t>ten (10) yr. average Consumer Price Index Roads between 2011 - 2021  (Mar Qtr.)</t>
  </si>
  <si>
    <t>Capital Escalation - Future Trunk</t>
  </si>
  <si>
    <t>Land Escalation - Future Trunk</t>
  </si>
  <si>
    <t>Capital Escalation - Existing Trunk</t>
  </si>
  <si>
    <t>Land Escalation - Existing Trunk</t>
  </si>
  <si>
    <t>PPI_Existing</t>
  </si>
  <si>
    <t>LandInd_Existing</t>
  </si>
  <si>
    <t>five (5) yr. average Consumer Price Index Roads between 2016 - 2021  (Mar Qtr.)</t>
  </si>
  <si>
    <t>five (5) yr. average Roads and Bridges Index (ABS 6427, Table 15, Index 3101)</t>
  </si>
  <si>
    <t>Construction Cost ($)</t>
  </si>
  <si>
    <t>Size of land (m2)</t>
  </si>
  <si>
    <t>Construction Unit Rate ($/m2)</t>
  </si>
  <si>
    <t>Construction Unit Rate</t>
  </si>
  <si>
    <t xml:space="preserve">1. Project costs are on costs to undertake detailed design, survey, geotechnical investigations, project management, and supervision of construction works and obtain certification from a Registered Professional Engineer of Queensland. Project costs equate to 23% of the direct and indirect embellishment costs.
2. Contingency costs are based on the project delivery date, and applied to the direct construction cost, indirect construction cost and project cost. Contingencies equate to 7.5% for projects with a delivery date up to 2024, 15% for projects with a delivery date up to 2029 and 20% for projects with a delivery date up to 2034.
3. Total embellishment cost is the sum of direct embellishment cost, indirect embellishment cost, project cost and construction contingency cost. 
4. Terminal Value Adjustment is only applicable to items that have an estimated completion date between 2026 and 2036, items value exceeds 20% of the total network value in the same catchment and same year of provision, and items catchment has spare capacity greater than 30%.
5. Total embellishment cost is the sum of direct embellishment cost, indirect embellishment cost, project cost and construction contingency cost. 
</t>
  </si>
  <si>
    <t xml:space="preserve">1. Project costs are on costs to undertake detailed design, survey, geotechnical investigations, project management, and supervision of construction works and obtain certification from a Registered Professional Engineer of Queensland. Project costs equate to 23% of the direct and indirect embellishment costs.
2. Contingency costs are based on the project delivery date, and applied to the direct construction cost, indirect construction cost and project cost. Contingencies equate to 7.5% for projects with a delivery date up to 2024, 15% for projects with a delivery date up to 2029 and 20% for projects with a delivery date up to 2034.
3. Total embellishment cost is the sum of direct embellishment cost, indirect embellishment cost, project cost and construction contingency cost. 
4. Terminal Value Adjustment is only applicable to items that have an estimated completion date between 2026 and 2036, items value exceeds 20% of the total network value in the same catchment and same year of provision, and items catchment has spare capacity greater than 30%.
5. Total embellishment cost is the sum of direct embellishment cost, indirect embellishment cost, project cost and construction contingency cost. 
</t>
  </si>
  <si>
    <t>BUL-RW-004</t>
  </si>
  <si>
    <t>BUL-RW-005</t>
  </si>
  <si>
    <t>MIT-SP-010</t>
  </si>
  <si>
    <t>ROK-SP-007</t>
  </si>
  <si>
    <t>APT72, APT71</t>
  </si>
  <si>
    <t>APT92, APT91</t>
  </si>
  <si>
    <t>APT174, APT154, APT153</t>
  </si>
  <si>
    <t>DAR-SP-006</t>
  </si>
  <si>
    <t>APT193, APT192</t>
  </si>
  <si>
    <t>APT131, APT130</t>
  </si>
  <si>
    <t>APT251, APT271</t>
  </si>
  <si>
    <t>APT312, APT311</t>
  </si>
  <si>
    <t>APT331, APT311</t>
  </si>
  <si>
    <t>APT155, APT175, APT174</t>
  </si>
  <si>
    <t>APT276, APT275</t>
  </si>
  <si>
    <t>Grafton Street to Hudson Road (QR railway overpass)</t>
  </si>
  <si>
    <t>Downfall Creek West (Hamilton Road to Beneke Street)</t>
  </si>
  <si>
    <t>Gaythorne Bikeway (parallel to QR Railway between Bellevue Avenue to Prospect Road)</t>
  </si>
  <si>
    <t>Unit Rates</t>
  </si>
  <si>
    <t>Demand Forecast</t>
  </si>
  <si>
    <t>PPI</t>
  </si>
  <si>
    <t>LandInd</t>
  </si>
  <si>
    <t>Data References</t>
  </si>
  <si>
    <t>three (3) yr. rolling average Consumer Price Index (ABS 6427, Table 17, Index 3101, Series ID: A2333727L - Mar Qtrs.)</t>
  </si>
  <si>
    <t>three (3) yr. rolling average Roads and Bridges Index (ABS 6427, Table 17, Index 3101, Series ID: A2333727L - Mar Qtrs.)</t>
  </si>
  <si>
    <t>ROC-SP-012</t>
  </si>
  <si>
    <t>Rochedale Bikeway (future road to Priestdale Road)</t>
  </si>
  <si>
    <t>ROC-SP-015</t>
  </si>
  <si>
    <t>Rochedale Bikeway (Miles Platting Road to future road)</t>
  </si>
  <si>
    <t>MOR-SB-001</t>
  </si>
  <si>
    <t>Kedron Brook Bikeway (Cribb Av to Saint Helens Rd)</t>
  </si>
  <si>
    <t>Perrin Creek Bikeway (Algoori Street bridge)</t>
  </si>
  <si>
    <t>Richlands Bikeway (Mario Close to Eugenia Street)</t>
  </si>
  <si>
    <t>Prebble Street extension (Gardner Road to Rochedale Road)</t>
  </si>
  <si>
    <t>RIC-SP-012</t>
  </si>
  <si>
    <t>APT295</t>
  </si>
  <si>
    <t>RIC-SP-013</t>
  </si>
  <si>
    <t>LGIP amendment 1B - Active and Public Transport Network - Schedule of Works model. Effective 27th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</si>
</sst>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3">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quot;$&quot;#,##0"/>
    <numFmt numFmtId="167" formatCode="0.0%"/>
    <numFmt numFmtId="168" formatCode="0.000"/>
    <numFmt numFmtId="169" formatCode="_-#,##0_-;\(#,##0\);_-&quot;-&quot;_-;_-@_-"/>
    <numFmt numFmtId="170" formatCode="&quot;$&quot;#,##0.00"/>
    <numFmt numFmtId="171" formatCode="[$-C09]dd\-mmm\-yy;@"/>
    <numFmt numFmtId="172" formatCode="_(* #,##0.0000_)_;;_(* \(#,##0.0000\)_;;_(* #,##0.0000_)_;"/>
    <numFmt numFmtId="173" formatCode="\ 0.00%;\-0.00%"/>
    <numFmt numFmtId="174" formatCode="\ #,##0_-;\(#,##0\);\ &quot;-&quot;_-;_-@_-"/>
    <numFmt numFmtId="175" formatCode="\ #,##0.0000_-;\(#,##0.0000\);\ &quot;-&quot;_-;_-@_-"/>
    <numFmt numFmtId="176" formatCode="#,##0.000_);\(#,##0.000\)"/>
    <numFmt numFmtId="177" formatCode="mmmm\ d\,\ yyyy"/>
    <numFmt numFmtId="178" formatCode="_(* #,##0.0_);_(* \(#,##0.0\);_(* &quot;-&quot;?_);_(@_)"/>
    <numFmt numFmtId="179" formatCode="_-* #,##0\ &quot;F&quot;_-;\-* #,##0\ &quot;F&quot;_-;_-* &quot;-&quot;\ &quot;F&quot;_-;_-@_-"/>
    <numFmt numFmtId="180" formatCode="00"/>
    <numFmt numFmtId="181" formatCode="_-* #,##0\ _F_-;\-* #,##0\ _F_-;_-* &quot;-&quot;\ _F_-;_-@_-"/>
    <numFmt numFmtId="182" formatCode="mmm"/>
    <numFmt numFmtId="183" formatCode="_-* #,##0.00\ &quot;F&quot;_-;\-* #,##0.00\ &quot;F&quot;_-;_-* &quot;-&quot;??\ &quot;F&quot;_-;_-@_-"/>
    <numFmt numFmtId="184" formatCode="mmm\.\ \'yy"/>
    <numFmt numFmtId="185" formatCode="_-* #,##0.00\ _F_-;\-* #,##0.00\ _F_-;_-* &quot;-&quot;??\ _F_-;_-@_-"/>
    <numFmt numFmtId="186" formatCode="#,##0.00\ &quot;F&quot;;[Red]\-#,##0.00\ &quot;F&quot;"/>
    <numFmt numFmtId="187" formatCode="#,##0&quot; F&quot;_);\(#,##0&quot; F&quot;\)"/>
    <numFmt numFmtId="188" formatCode="#,##0.000;\(#,##0.000\)"/>
    <numFmt numFmtId="189" formatCode="&quot;CHF&quot;\ #,##0.00;&quot;CHF&quot;\ \-#,##0.00"/>
    <numFmt numFmtId="190" formatCode="_-* #,##0\ _D_M_-;\-* #,##0\ _D_M_-;_-* &quot;-&quot;\ _D_M_-;_-@_-"/>
    <numFmt numFmtId="191" formatCode="_-* #,##0.00\ _D_M_-;\-* #,##0.00\ _D_M_-;_-* &quot;-&quot;??\ _D_M_-;_-@_-"/>
    <numFmt numFmtId="192" formatCode="#,##0.0_);[Red]\(#,##0.0\)"/>
    <numFmt numFmtId="193" formatCode="0_);\(0\)"/>
    <numFmt numFmtId="194" formatCode="#,##0.0;\(#,##0.0\);\-\ "/>
    <numFmt numFmtId="195" formatCode="#,##0.0;\(#,##0.0\);\-"/>
    <numFmt numFmtId="196" formatCode="0%;\(0%\)"/>
    <numFmt numFmtId="197" formatCode="&quot;$&quot;#.##"/>
    <numFmt numFmtId="198" formatCode="#,##0&quot; F&quot;_);[Red]\(#,##0&quot; F&quot;\)"/>
    <numFmt numFmtId="199" formatCode="#,##0.00&quot; F&quot;_);\(#,##0.00&quot; F&quot;\)"/>
    <numFmt numFmtId="200" formatCode="_-* #,##0\ &quot;DM&quot;_-;\-* #,##0\ &quot;DM&quot;_-;_-* &quot;-&quot;\ &quot;DM&quot;_-;_-@_-"/>
    <numFmt numFmtId="201" formatCode="_-* #,##0.00\ &quot;DM&quot;_-;\-* #,##0.00\ &quot;DM&quot;_-;_-* &quot;-&quot;??\ &quot;DM&quot;_-;_-@_-"/>
  </numFmts>
  <fonts count="98">
    <font>
      <sz val="11"/>
      <color theme="1"/>
      <name val="Century Gothic"/>
      <family val="2"/>
      <scheme val="minor"/>
    </font>
    <font>
      <sz val="12"/>
      <color theme="1"/>
      <name val="Century Gothic"/>
      <family val="2"/>
      <scheme val="minor"/>
    </font>
    <font>
      <sz val="11"/>
      <color theme="1"/>
      <name val="Century Gothic"/>
      <family val="2"/>
      <scheme val="minor"/>
    </font>
    <font>
      <b/>
      <sz val="11"/>
      <color theme="0"/>
      <name val="Century Gothic"/>
      <family val="2"/>
      <scheme val="minor"/>
    </font>
    <font>
      <b/>
      <sz val="11"/>
      <color theme="1"/>
      <name val="Century Gothic"/>
      <family val="2"/>
      <scheme val="minor"/>
    </font>
    <font>
      <b/>
      <sz val="18"/>
      <color theme="1"/>
      <name val="Century Gothic"/>
      <family val="2"/>
      <scheme val="minor"/>
    </font>
    <font>
      <b/>
      <sz val="20"/>
      <color theme="1"/>
      <name val="Arial"/>
      <family val="2"/>
    </font>
    <font>
      <b/>
      <sz val="12"/>
      <color theme="1"/>
      <name val="Arial"/>
      <family val="2"/>
    </font>
    <font>
      <sz val="12"/>
      <color theme="1"/>
      <name val="Arial"/>
      <family val="2"/>
    </font>
    <font>
      <u/>
      <sz val="11"/>
      <color theme="10"/>
      <name val="Century Gothic"/>
      <family val="2"/>
      <scheme val="minor"/>
    </font>
    <font>
      <b/>
      <u/>
      <sz val="18"/>
      <name val="Century Gothic"/>
      <family val="2"/>
      <scheme val="minor"/>
    </font>
    <font>
      <b/>
      <sz val="11"/>
      <name val="Century Gothic"/>
      <family val="2"/>
      <scheme val="minor"/>
    </font>
    <font>
      <sz val="12"/>
      <color theme="1"/>
      <name val="Century Gothic"/>
      <family val="2"/>
      <scheme val="minor"/>
    </font>
    <font>
      <sz val="14"/>
      <color theme="1"/>
      <name val="Century Gothic"/>
      <family val="2"/>
      <scheme val="minor"/>
    </font>
    <font>
      <sz val="12"/>
      <color theme="1"/>
      <name val="Wingdings"/>
      <charset val="2"/>
    </font>
    <font>
      <sz val="12"/>
      <color theme="1"/>
      <name val="Calibri"/>
      <family val="2"/>
    </font>
    <font>
      <sz val="9"/>
      <color theme="1"/>
      <name val="Century Gothic"/>
      <family val="2"/>
      <scheme val="minor"/>
    </font>
    <font>
      <b/>
      <sz val="9"/>
      <color theme="1"/>
      <name val="Century Gothic"/>
      <family val="2"/>
      <scheme val="minor"/>
    </font>
    <font>
      <sz val="8"/>
      <color theme="1"/>
      <name val="Century Gothic"/>
      <family val="2"/>
      <scheme val="minor"/>
    </font>
    <font>
      <b/>
      <sz val="12"/>
      <color rgb="FFFF0000"/>
      <name val="Century Gothic"/>
      <family val="2"/>
      <scheme val="minor"/>
    </font>
    <font>
      <u/>
      <sz val="12"/>
      <color theme="1"/>
      <name val="Calibri"/>
      <family val="2"/>
    </font>
    <font>
      <u/>
      <sz val="12"/>
      <color theme="1"/>
      <name val="Century Gothic"/>
      <family val="2"/>
      <scheme val="minor"/>
    </font>
    <font>
      <sz val="11"/>
      <color theme="1"/>
      <name val="Calibri"/>
      <family val="2"/>
    </font>
    <font>
      <b/>
      <sz val="14"/>
      <color theme="1"/>
      <name val="Arial"/>
      <family val="2"/>
    </font>
    <font>
      <b/>
      <sz val="20"/>
      <color theme="1"/>
      <name val="Century Gothic"/>
      <family val="2"/>
      <scheme val="minor"/>
    </font>
    <font>
      <b/>
      <u/>
      <sz val="20"/>
      <color theme="1"/>
      <name val="Century Gothic"/>
      <family val="2"/>
      <scheme val="minor"/>
    </font>
    <font>
      <sz val="9"/>
      <color theme="1"/>
      <name val="Arial"/>
      <family val="2"/>
    </font>
    <font>
      <sz val="11"/>
      <color theme="8" tint="0.79998168889431442"/>
      <name val="Century Gothic"/>
      <family val="2"/>
      <scheme val="minor"/>
    </font>
    <font>
      <sz val="8"/>
      <color indexed="12"/>
      <name val="Arial"/>
      <family val="2"/>
    </font>
    <font>
      <b/>
      <sz val="28"/>
      <color theme="1"/>
      <name val="Century Gothic"/>
      <family val="2"/>
      <scheme val="minor"/>
    </font>
    <font>
      <i/>
      <sz val="10"/>
      <color theme="1"/>
      <name val="Century Gothic"/>
      <family val="2"/>
      <scheme val="minor"/>
    </font>
    <font>
      <sz val="12"/>
      <color theme="1"/>
      <name val="Century Gothic"/>
      <family val="2"/>
      <scheme val="major"/>
    </font>
    <font>
      <sz val="11"/>
      <color rgb="FF000000"/>
      <name val="Century Gothic"/>
      <family val="2"/>
      <scheme val="minor"/>
    </font>
    <font>
      <sz val="10"/>
      <name val="Arial"/>
      <family val="2"/>
    </font>
    <font>
      <sz val="11"/>
      <color rgb="FF006100"/>
      <name val="Century Gothic"/>
      <family val="2"/>
      <scheme val="minor"/>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i/>
      <sz val="10"/>
      <color indexed="16"/>
      <name val="Arial"/>
      <family val="2"/>
    </font>
    <font>
      <sz val="10"/>
      <color indexed="8"/>
      <name val="Arial"/>
      <family val="2"/>
    </font>
    <font>
      <sz val="10"/>
      <name val="Futura Md BT"/>
      <family val="2"/>
    </font>
    <font>
      <sz val="10"/>
      <name val="Geneva"/>
      <family val="2"/>
    </font>
    <font>
      <sz val="10"/>
      <name val="Times New Roman"/>
      <family val="1"/>
    </font>
    <font>
      <sz val="12"/>
      <name val="Helv"/>
    </font>
    <font>
      <b/>
      <sz val="10"/>
      <color indexed="10"/>
      <name val="Arial"/>
      <family val="2"/>
    </font>
    <font>
      <sz val="12"/>
      <name val="Tms Rmn"/>
    </font>
    <font>
      <b/>
      <sz val="8"/>
      <name val="Arial"/>
      <family val="2"/>
      <charset val="238"/>
    </font>
    <font>
      <sz val="10"/>
      <color indexed="12"/>
      <name val="Arial"/>
      <family val="2"/>
    </font>
    <font>
      <b/>
      <sz val="10"/>
      <color indexed="9"/>
      <name val="Futura Md BT"/>
      <family val="2"/>
    </font>
    <font>
      <b/>
      <sz val="8"/>
      <color indexed="9"/>
      <name val="Arial"/>
      <family val="2"/>
    </font>
    <font>
      <b/>
      <sz val="12"/>
      <name val="Arial"/>
      <family val="2"/>
    </font>
    <font>
      <b/>
      <sz val="11"/>
      <name val="Futura Md BT"/>
      <family val="2"/>
    </font>
    <font>
      <b/>
      <sz val="9"/>
      <color indexed="16"/>
      <name val="SwitzerlandCondensed"/>
    </font>
    <font>
      <b/>
      <u/>
      <sz val="8"/>
      <color indexed="61"/>
      <name val="Arial"/>
      <family val="2"/>
    </font>
    <font>
      <sz val="10"/>
      <color indexed="12"/>
      <name val="Futura Md BT"/>
      <family val="2"/>
    </font>
    <font>
      <sz val="8"/>
      <name val="Futura Md BT"/>
      <family val="2"/>
    </font>
    <font>
      <sz val="10"/>
      <color indexed="14"/>
      <name val="Arial"/>
      <family val="2"/>
    </font>
    <font>
      <sz val="10"/>
      <color indexed="14"/>
      <name val="Times New Roman"/>
      <family val="1"/>
    </font>
    <font>
      <b/>
      <sz val="10"/>
      <name val="Arial"/>
      <family val="2"/>
      <charset val="238"/>
    </font>
    <font>
      <b/>
      <u/>
      <sz val="10"/>
      <name val="Futura Md BT"/>
      <family val="2"/>
    </font>
    <font>
      <b/>
      <sz val="10"/>
      <name val="Futura Md BT"/>
      <family val="2"/>
    </font>
    <font>
      <b/>
      <sz val="10"/>
      <color indexed="8"/>
      <name val="Futura Md BT"/>
      <family val="2"/>
    </font>
    <font>
      <sz val="9"/>
      <name val="Futura Md BT"/>
      <family val="2"/>
    </font>
    <font>
      <b/>
      <sz val="9"/>
      <name val="Arial"/>
      <family val="2"/>
      <charset val="238"/>
    </font>
    <font>
      <b/>
      <sz val="9"/>
      <color indexed="10"/>
      <name val="SwitzerlandCondensed"/>
    </font>
    <font>
      <sz val="10"/>
      <name val="Arial CE"/>
      <family val="2"/>
      <charset val="238"/>
    </font>
    <font>
      <sz val="8"/>
      <name val="Arial"/>
      <family val="2"/>
      <charset val="238"/>
    </font>
    <font>
      <b/>
      <sz val="10"/>
      <name val="Futura Md BT"/>
    </font>
    <font>
      <b/>
      <i/>
      <sz val="8"/>
      <name val="Arial"/>
      <family val="2"/>
    </font>
    <font>
      <sz val="10"/>
      <name val="Helv"/>
    </font>
    <font>
      <b/>
      <sz val="9"/>
      <name val="Arial"/>
      <family val="2"/>
    </font>
    <font>
      <b/>
      <sz val="16"/>
      <name val="Arial"/>
      <family val="2"/>
    </font>
    <font>
      <sz val="7"/>
      <color indexed="55"/>
      <name val="Arial"/>
      <family val="2"/>
    </font>
    <font>
      <b/>
      <sz val="16"/>
      <name val="AT*Carleton"/>
      <charset val="2"/>
    </font>
    <font>
      <sz val="11"/>
      <name val="Century Gothic"/>
      <family val="2"/>
      <scheme val="minor"/>
    </font>
    <font>
      <sz val="8"/>
      <name val="Century Gothic"/>
      <family val="2"/>
      <scheme val="minor"/>
    </font>
    <font>
      <sz val="11"/>
      <color theme="1"/>
      <name val="Calibri"/>
      <family val="2"/>
      <charset val="2"/>
    </font>
    <font>
      <sz val="11"/>
      <name val="Calibri"/>
      <family val="2"/>
    </font>
    <font>
      <sz val="9"/>
      <name val="Century Gothic"/>
      <family val="2"/>
      <scheme val="minor"/>
    </font>
    <font>
      <sz val="10"/>
      <name val="Century Gothic"/>
      <family val="2"/>
      <scheme val="minor"/>
    </font>
    <font>
      <u/>
      <sz val="18"/>
      <color theme="10"/>
      <name val="Century Gothic"/>
      <family val="2"/>
      <scheme val="minor"/>
    </font>
    <font>
      <b/>
      <sz val="9"/>
      <name val="Century Gothic"/>
      <family val="2"/>
      <scheme val="minor"/>
    </font>
  </fonts>
  <fills count="5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6" tint="0.79998168889431442"/>
        <bgColor indexed="64"/>
      </patternFill>
    </fill>
    <fill>
      <patternFill patternType="solid">
        <fgColor indexed="41"/>
        <bgColor indexed="64"/>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48"/>
        <bgColor indexed="64"/>
      </patternFill>
    </fill>
    <fill>
      <patternFill patternType="solid">
        <fgColor indexed="54"/>
        <bgColor indexed="64"/>
      </patternFill>
    </fill>
    <fill>
      <patternFill patternType="solid">
        <fgColor indexed="65"/>
        <bgColor indexed="64"/>
      </patternFill>
    </fill>
    <fill>
      <patternFill patternType="solid">
        <fgColor indexed="26"/>
        <bgColor indexed="64"/>
      </patternFill>
    </fill>
    <fill>
      <patternFill patternType="gray125">
        <bgColor indexed="42"/>
      </patternFill>
    </fill>
    <fill>
      <patternFill patternType="solid">
        <fgColor indexed="24"/>
      </patternFill>
    </fill>
  </fills>
  <borders count="1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medium">
        <color indexed="64"/>
      </left>
      <right style="medium">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top/>
      <bottom style="medium">
        <color indexed="64"/>
      </bottom>
      <diagonal/>
    </border>
    <border>
      <left/>
      <right/>
      <top style="dotted">
        <color indexed="64"/>
      </top>
      <bottom style="dotted">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dotted">
        <color indexed="64"/>
      </top>
      <bottom style="dotted">
        <color indexed="64"/>
      </bottom>
      <diagonal/>
    </border>
    <border>
      <left/>
      <right/>
      <top style="dotted">
        <color indexed="64"/>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bottom/>
      <diagonal/>
    </border>
    <border>
      <left/>
      <right/>
      <top style="medium">
        <color indexed="64"/>
      </top>
      <bottom/>
      <diagonal/>
    </border>
    <border>
      <left style="thin">
        <color indexed="64"/>
      </left>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style="medium">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style="thin">
        <color indexed="64"/>
      </right>
      <top/>
      <bottom style="dotted">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style="dotted">
        <color indexed="64"/>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dotted">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tted">
        <color indexed="64"/>
      </left>
      <right/>
      <top style="medium">
        <color indexed="64"/>
      </top>
      <bottom style="medium">
        <color indexed="64"/>
      </bottom>
      <diagonal/>
    </border>
    <border>
      <left style="dotted">
        <color indexed="64"/>
      </left>
      <right/>
      <top style="medium">
        <color indexed="64"/>
      </top>
      <bottom style="dotted">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tted">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tted">
        <color indexed="64"/>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top style="dotted">
        <color indexed="64"/>
      </top>
      <bottom/>
      <diagonal/>
    </border>
    <border>
      <left style="dotted">
        <color indexed="64"/>
      </left>
      <right/>
      <top/>
      <bottom style="medium">
        <color indexed="64"/>
      </bottom>
      <diagonal/>
    </border>
  </borders>
  <cellStyleXfs count="10069">
    <xf numFmtId="0" fontId="0" fillId="0" borderId="0"/>
    <xf numFmtId="43"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xf numFmtId="44" fontId="2" fillId="0" borderId="0" applyFont="0" applyFill="0" applyBorder="0" applyAlignment="0" applyProtection="0"/>
    <xf numFmtId="169" fontId="28" fillId="12" borderId="92">
      <alignment horizontal="right"/>
      <protection locked="0"/>
    </xf>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39" fillId="45" borderId="98"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0" fontId="40" fillId="46" borderId="99" applyNumberFormat="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3" fillId="0" borderId="100"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4" fillId="0" borderId="101"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102"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6" fillId="32" borderId="98" applyNumberFormat="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48" fillId="4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33" fillId="48" borderId="92"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2" fillId="14" borderId="97" applyNumberFormat="0" applyFon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49" fillId="45" borderId="104" applyNumberFormat="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1" fillId="0" borderId="105"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33" fillId="0" borderId="0"/>
    <xf numFmtId="0" fontId="33" fillId="0" borderId="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176" fontId="54" fillId="0" borderId="0" applyNumberFormat="0" applyFill="0" applyBorder="0" applyAlignment="0" applyProtection="0">
      <protection locked="0"/>
    </xf>
    <xf numFmtId="177" fontId="33" fillId="0" borderId="0" applyFill="0" applyBorder="0" applyAlignment="0"/>
    <xf numFmtId="177" fontId="33" fillId="0" borderId="0" applyFill="0" applyBorder="0" applyAlignment="0"/>
    <xf numFmtId="177"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7" fontId="33" fillId="0" borderId="0" applyFill="0" applyBorder="0" applyAlignment="0"/>
    <xf numFmtId="177" fontId="33" fillId="0" borderId="0" applyFill="0" applyBorder="0" applyAlignment="0"/>
    <xf numFmtId="177" fontId="33" fillId="0" borderId="0" applyFill="0" applyBorder="0" applyAlignment="0"/>
    <xf numFmtId="177"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1" fontId="33" fillId="0" borderId="0" applyFill="0" applyBorder="0" applyAlignment="0"/>
    <xf numFmtId="181" fontId="33" fillId="0" borderId="0" applyFill="0" applyBorder="0" applyAlignment="0"/>
    <xf numFmtId="181" fontId="33" fillId="0" borderId="0" applyFill="0" applyBorder="0" applyAlignment="0"/>
    <xf numFmtId="182" fontId="33" fillId="0" borderId="0" applyFill="0" applyBorder="0" applyAlignment="0"/>
    <xf numFmtId="182" fontId="33" fillId="0" borderId="0" applyFill="0" applyBorder="0" applyAlignment="0"/>
    <xf numFmtId="182" fontId="33" fillId="0" borderId="0" applyFill="0" applyBorder="0" applyAlignment="0"/>
    <xf numFmtId="182" fontId="33" fillId="0" borderId="0" applyFill="0" applyBorder="0" applyAlignment="0"/>
    <xf numFmtId="181" fontId="33" fillId="0" borderId="0" applyFill="0" applyBorder="0" applyAlignment="0"/>
    <xf numFmtId="181" fontId="33" fillId="0" borderId="0" applyFill="0" applyBorder="0" applyAlignment="0"/>
    <xf numFmtId="181" fontId="33" fillId="0" borderId="0" applyFill="0" applyBorder="0" applyAlignment="0"/>
    <xf numFmtId="181" fontId="33" fillId="0" borderId="0" applyFill="0" applyBorder="0" applyAlignment="0"/>
    <xf numFmtId="183" fontId="33" fillId="0" borderId="0" applyFill="0" applyBorder="0" applyAlignment="0"/>
    <xf numFmtId="183" fontId="33" fillId="0" borderId="0" applyFill="0" applyBorder="0" applyAlignment="0"/>
    <xf numFmtId="183" fontId="33" fillId="0" borderId="0" applyFill="0" applyBorder="0" applyAlignment="0"/>
    <xf numFmtId="184" fontId="33" fillId="0" borderId="0" applyFill="0" applyBorder="0" applyAlignment="0"/>
    <xf numFmtId="184" fontId="33" fillId="0" borderId="0" applyFill="0" applyBorder="0" applyAlignment="0"/>
    <xf numFmtId="184" fontId="33" fillId="0" borderId="0" applyFill="0" applyBorder="0" applyAlignment="0"/>
    <xf numFmtId="184" fontId="33" fillId="0" borderId="0" applyFill="0" applyBorder="0" applyAlignment="0"/>
    <xf numFmtId="183" fontId="33" fillId="0" borderId="0" applyFill="0" applyBorder="0" applyAlignment="0"/>
    <xf numFmtId="183" fontId="33" fillId="0" borderId="0" applyFill="0" applyBorder="0" applyAlignment="0"/>
    <xf numFmtId="183" fontId="33" fillId="0" borderId="0" applyFill="0" applyBorder="0" applyAlignment="0"/>
    <xf numFmtId="183" fontId="33" fillId="0" borderId="0" applyFill="0" applyBorder="0" applyAlignment="0"/>
    <xf numFmtId="185" fontId="33" fillId="0" borderId="0" applyFill="0" applyBorder="0" applyAlignment="0"/>
    <xf numFmtId="185" fontId="33" fillId="0" borderId="0" applyFill="0" applyBorder="0" applyAlignment="0"/>
    <xf numFmtId="185" fontId="33"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185" fontId="33" fillId="0" borderId="0" applyFill="0" applyBorder="0" applyAlignment="0"/>
    <xf numFmtId="185" fontId="33" fillId="0" borderId="0" applyFill="0" applyBorder="0" applyAlignment="0"/>
    <xf numFmtId="185" fontId="33" fillId="0" borderId="0" applyFill="0" applyBorder="0" applyAlignment="0"/>
    <xf numFmtId="185"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2" fontId="56" fillId="0" borderId="0">
      <alignment horizontal="right"/>
      <protection locked="0"/>
    </xf>
    <xf numFmtId="188" fontId="56" fillId="0" borderId="0" applyFill="0" applyBorder="0" applyAlignment="0" applyProtection="0">
      <protection locked="0"/>
    </xf>
    <xf numFmtId="3" fontId="56" fillId="0" borderId="0" applyFill="0" applyBorder="0" applyAlignment="0" applyProtection="0"/>
    <xf numFmtId="38" fontId="57" fillId="0" borderId="0" applyFont="0" applyFill="0" applyBorder="0" applyAlignment="0" applyProtection="0"/>
    <xf numFmtId="40" fontId="57" fillId="0" borderId="0" applyFont="0" applyFill="0" applyBorder="0" applyAlignment="0" applyProtection="0"/>
    <xf numFmtId="189" fontId="58" fillId="0" borderId="0"/>
    <xf numFmtId="0" fontId="59" fillId="0" borderId="0"/>
    <xf numFmtId="186"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60" fillId="0" borderId="11" applyNumberFormat="0" applyFill="0" applyBorder="0" applyAlignment="0" applyProtection="0">
      <protection locked="0"/>
    </xf>
    <xf numFmtId="0" fontId="59" fillId="0" borderId="0"/>
    <xf numFmtId="0" fontId="59" fillId="0" borderId="0"/>
    <xf numFmtId="44" fontId="33" fillId="0" borderId="0" applyFont="0" applyFill="0" applyBorder="0" applyAlignment="0" applyProtection="0"/>
    <xf numFmtId="8" fontId="61" fillId="0" borderId="1"/>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80" fontId="33" fillId="0" borderId="0" applyFont="0" applyFill="0" applyBorder="0" applyAlignment="0" applyProtection="0"/>
    <xf numFmtId="180" fontId="33" fillId="0" borderId="0" applyFont="0" applyFill="0" applyBorder="0" applyAlignment="0" applyProtection="0"/>
    <xf numFmtId="180" fontId="33" fillId="0" borderId="0" applyFont="0" applyFill="0" applyBorder="0" applyAlignment="0" applyProtection="0"/>
    <xf numFmtId="180"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82" fontId="33" fillId="0" borderId="0" applyFont="0" applyFill="0" applyBorder="0" applyAlignment="0" applyProtection="0"/>
    <xf numFmtId="14" fontId="55" fillId="0" borderId="0" applyFill="0" applyBorder="0" applyAlignment="0"/>
    <xf numFmtId="190" fontId="33" fillId="0" borderId="0" applyFont="0" applyFill="0" applyBorder="0" applyAlignment="0" applyProtection="0"/>
    <xf numFmtId="191" fontId="33" fillId="0" borderId="0" applyFont="0" applyFill="0" applyBorder="0" applyAlignment="0" applyProtection="0"/>
    <xf numFmtId="9" fontId="33" fillId="0" borderId="0"/>
    <xf numFmtId="38" fontId="57" fillId="0" borderId="0" applyFont="0" applyFill="0" applyBorder="0" applyAlignment="0" applyProtection="0"/>
    <xf numFmtId="40" fontId="57" fillId="0" borderId="0" applyFont="0" applyFill="0" applyBorder="0" applyAlignment="0" applyProtection="0"/>
    <xf numFmtId="0" fontId="62" fillId="0" borderId="0" applyNumberFormat="0"/>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0" fontId="63" fillId="0" borderId="0" applyFill="0" applyBorder="0" applyAlignment="0"/>
    <xf numFmtId="0" fontId="63" fillId="0" borderId="0" applyFill="0" applyBorder="0" applyAlignment="0"/>
    <xf numFmtId="0" fontId="63" fillId="0" borderId="0" applyFill="0" applyBorder="0" applyAlignment="0"/>
    <xf numFmtId="0" fontId="6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0" fontId="53" fillId="0" borderId="8" applyNumberFormat="0" applyFill="0" applyBorder="0" applyAlignment="0" applyProtection="0">
      <protection locked="0"/>
    </xf>
    <xf numFmtId="0" fontId="64" fillId="51" borderId="5" applyFill="0" applyBorder="0" applyAlignment="0" applyProtection="0">
      <alignment horizontal="left"/>
    </xf>
    <xf numFmtId="3" fontId="56" fillId="0" borderId="0" applyProtection="0"/>
    <xf numFmtId="38" fontId="35" fillId="49" borderId="0" applyNumberFormat="0" applyBorder="0" applyAlignment="0" applyProtection="0"/>
    <xf numFmtId="15" fontId="65" fillId="52" borderId="0">
      <alignment vertical="center"/>
    </xf>
    <xf numFmtId="0" fontId="66" fillId="0" borderId="21" applyNumberFormat="0" applyAlignment="0" applyProtection="0">
      <alignment horizontal="left" vertical="center"/>
    </xf>
    <xf numFmtId="0" fontId="66" fillId="0" borderId="3">
      <alignment horizontal="left" vertical="center"/>
    </xf>
    <xf numFmtId="0" fontId="67" fillId="53" borderId="17" applyNumberFormat="0" applyFill="0" applyBorder="0" applyAlignment="0" applyProtection="0"/>
    <xf numFmtId="0" fontId="68" fillId="0" borderId="82" applyBorder="0"/>
    <xf numFmtId="171" fontId="69" fillId="0" borderId="0" applyFill="0" applyBorder="0">
      <alignment vertical="center"/>
    </xf>
    <xf numFmtId="169" fontId="28" fillId="12" borderId="92">
      <alignment horizontal="right"/>
      <protection locked="0"/>
    </xf>
    <xf numFmtId="169" fontId="28" fillId="12" borderId="92">
      <alignment horizontal="right"/>
      <protection locked="0"/>
    </xf>
    <xf numFmtId="172" fontId="28" fillId="12" borderId="92">
      <protection locked="0"/>
    </xf>
    <xf numFmtId="172" fontId="28" fillId="12" borderId="92">
      <protection locked="0"/>
    </xf>
    <xf numFmtId="173" fontId="28" fillId="12" borderId="92">
      <alignment horizontal="right"/>
      <protection locked="0"/>
    </xf>
    <xf numFmtId="173" fontId="28" fillId="12" borderId="92">
      <alignment horizontal="right"/>
      <protection locked="0"/>
    </xf>
    <xf numFmtId="171" fontId="28" fillId="12" borderId="92">
      <alignment horizontal="left" vertical="top" wrapText="1"/>
      <protection locked="0"/>
    </xf>
    <xf numFmtId="0" fontId="28" fillId="12" borderId="92">
      <alignment horizontal="left" vertical="top" wrapText="1"/>
      <protection locked="0"/>
    </xf>
    <xf numFmtId="15" fontId="28" fillId="12" borderId="92">
      <alignment horizontal="right" vertical="center"/>
      <protection locked="0"/>
    </xf>
    <xf numFmtId="15" fontId="28" fillId="12" borderId="92">
      <alignment horizontal="right" vertical="center"/>
      <protection locked="0"/>
    </xf>
    <xf numFmtId="171" fontId="28" fillId="12" borderId="92">
      <alignment horizontal="center" vertical="center" wrapText="1"/>
      <protection locked="0"/>
    </xf>
    <xf numFmtId="0" fontId="28" fillId="12" borderId="92">
      <alignment horizontal="center" vertical="center" wrapText="1"/>
      <protection locked="0"/>
    </xf>
    <xf numFmtId="10" fontId="35" fillId="54" borderId="1" applyNumberFormat="0" applyBorder="0" applyAlignment="0" applyProtection="0"/>
    <xf numFmtId="192" fontId="63" fillId="0" borderId="0" applyFill="0" applyBorder="0" applyAlignment="0" applyProtection="0"/>
    <xf numFmtId="9" fontId="70" fillId="0" borderId="0" applyFill="0" applyBorder="0" applyAlignment="0" applyProtection="0"/>
    <xf numFmtId="0" fontId="71" fillId="0" borderId="0" applyBorder="0">
      <alignment vertical="center"/>
    </xf>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0" fontId="72" fillId="0" borderId="0" applyFill="0" applyBorder="0" applyAlignment="0"/>
    <xf numFmtId="0" fontId="72" fillId="0" borderId="0" applyFill="0" applyBorder="0" applyAlignment="0"/>
    <xf numFmtId="0" fontId="72" fillId="0" borderId="0" applyFill="0" applyBorder="0" applyAlignment="0"/>
    <xf numFmtId="0" fontId="72"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0" fontId="73" fillId="0" borderId="0" applyNumberFormat="0" applyFill="0" applyBorder="0" applyAlignment="0" applyProtection="0">
      <alignment horizontal="right"/>
    </xf>
    <xf numFmtId="184" fontId="33" fillId="0" borderId="0"/>
    <xf numFmtId="0" fontId="74" fillId="0" borderId="0" applyNumberFormat="0"/>
    <xf numFmtId="8" fontId="57" fillId="0" borderId="0" applyFont="0" applyFill="0" applyBorder="0" applyAlignment="0" applyProtection="0"/>
    <xf numFmtId="8" fontId="57" fillId="0" borderId="0" applyFont="0" applyFill="0" applyBorder="0" applyAlignment="0" applyProtection="0"/>
    <xf numFmtId="171" fontId="66" fillId="0" borderId="0" applyFill="0" applyBorder="0" applyAlignment="0">
      <alignment vertical="center"/>
    </xf>
    <xf numFmtId="0" fontId="75" fillId="53" borderId="18" applyNumberFormat="0" applyFill="0" applyBorder="0" applyAlignment="0" applyProtection="0"/>
    <xf numFmtId="0" fontId="76" fillId="0" borderId="18" applyNumberFormat="0" applyFill="0" applyBorder="0" applyAlignment="0" applyProtection="0"/>
    <xf numFmtId="193" fontId="33" fillId="0" borderId="0"/>
    <xf numFmtId="193" fontId="33" fillId="0" borderId="0"/>
    <xf numFmtId="193" fontId="33" fillId="0" borderId="0"/>
    <xf numFmtId="0" fontId="58" fillId="0" borderId="0"/>
    <xf numFmtId="0" fontId="58" fillId="0" borderId="0"/>
    <xf numFmtId="0" fontId="58" fillId="0" borderId="0"/>
    <xf numFmtId="0" fontId="58" fillId="0" borderId="0"/>
    <xf numFmtId="193" fontId="33" fillId="0" borderId="0"/>
    <xf numFmtId="193" fontId="33" fillId="0" borderId="0"/>
    <xf numFmtId="193" fontId="33" fillId="0" borderId="0"/>
    <xf numFmtId="193" fontId="33" fillId="0" borderId="0"/>
    <xf numFmtId="0" fontId="59" fillId="0" borderId="0"/>
    <xf numFmtId="192" fontId="33" fillId="0" borderId="0" applyFill="0" applyBorder="0" applyAlignment="0" applyProtection="0"/>
    <xf numFmtId="0" fontId="33" fillId="0" borderId="0"/>
    <xf numFmtId="0" fontId="33" fillId="0" borderId="0"/>
    <xf numFmtId="0" fontId="33" fillId="0" borderId="0"/>
    <xf numFmtId="0" fontId="33" fillId="0" borderId="0"/>
    <xf numFmtId="38" fontId="33" fillId="0" borderId="0" applyBorder="0" applyAlignment="0" applyProtection="0"/>
    <xf numFmtId="38" fontId="33" fillId="0" borderId="0" applyBorder="0" applyAlignment="0" applyProtection="0"/>
    <xf numFmtId="38" fontId="33" fillId="0" borderId="0" applyBorder="0" applyAlignment="0" applyProtection="0"/>
    <xf numFmtId="38" fontId="33" fillId="0" borderId="0" applyBorder="0" applyAlignment="0" applyProtection="0"/>
    <xf numFmtId="38" fontId="33" fillId="0" borderId="0" applyBorder="0" applyAlignment="0" applyProtection="0"/>
    <xf numFmtId="38" fontId="33" fillId="0" borderId="0" applyBorder="0" applyAlignment="0" applyProtection="0"/>
    <xf numFmtId="38" fontId="33" fillId="0" borderId="0" applyBorder="0" applyAlignment="0" applyProtection="0"/>
    <xf numFmtId="194" fontId="56" fillId="0" borderId="106" applyFill="0" applyBorder="0">
      <alignment horizontal="center"/>
    </xf>
    <xf numFmtId="194" fontId="77" fillId="0" borderId="18" applyFill="0" applyBorder="0" applyProtection="0">
      <alignment horizontal="center"/>
    </xf>
    <xf numFmtId="0" fontId="57" fillId="0" borderId="0"/>
    <xf numFmtId="0" fontId="33" fillId="48" borderId="92" applyNumberFormat="0" applyFont="0" applyAlignment="0" applyProtection="0"/>
    <xf numFmtId="0" fontId="33" fillId="48" borderId="92" applyNumberFormat="0" applyFont="0" applyAlignment="0" applyProtection="0"/>
    <xf numFmtId="0" fontId="33" fillId="48" borderId="92" applyNumberFormat="0" applyFont="0" applyAlignment="0" applyProtection="0"/>
    <xf numFmtId="195" fontId="78" fillId="0" borderId="106" applyBorder="0">
      <alignment horizontal="center"/>
    </xf>
    <xf numFmtId="174" fontId="35" fillId="0" borderId="0">
      <alignment horizontal="right"/>
    </xf>
    <xf numFmtId="174" fontId="35" fillId="0" borderId="0">
      <alignment horizontal="right"/>
    </xf>
    <xf numFmtId="174" fontId="35" fillId="0" borderId="0">
      <alignment horizontal="right"/>
    </xf>
    <xf numFmtId="175" fontId="35" fillId="50" borderId="0">
      <alignment horizontal="right"/>
    </xf>
    <xf numFmtId="175" fontId="35" fillId="50" borderId="0">
      <alignment horizontal="right"/>
    </xf>
    <xf numFmtId="175" fontId="35" fillId="50" borderId="0">
      <alignment horizontal="right"/>
    </xf>
    <xf numFmtId="173" fontId="35" fillId="0" borderId="0">
      <alignment horizontal="right"/>
    </xf>
    <xf numFmtId="173" fontId="35" fillId="0" borderId="0">
      <alignment horizontal="right"/>
    </xf>
    <xf numFmtId="173" fontId="35" fillId="0" borderId="0">
      <alignment horizontal="right"/>
    </xf>
    <xf numFmtId="15" fontId="35" fillId="0" borderId="0">
      <alignment horizontal="right" vertical="center"/>
    </xf>
    <xf numFmtId="15" fontId="35" fillId="0" borderId="0">
      <alignment horizontal="right" vertical="center"/>
    </xf>
    <xf numFmtId="15" fontId="35" fillId="0" borderId="0">
      <alignment horizontal="right" vertical="center"/>
    </xf>
    <xf numFmtId="171" fontId="35" fillId="0" borderId="0">
      <alignment horizontal="left" vertical="center" indent="1"/>
    </xf>
    <xf numFmtId="171" fontId="35" fillId="0" borderId="0">
      <alignment horizontal="left" vertical="center" indent="1"/>
    </xf>
    <xf numFmtId="0" fontId="35" fillId="0" borderId="0">
      <alignment horizontal="left" vertical="center" indent="1"/>
    </xf>
    <xf numFmtId="171" fontId="35" fillId="0" borderId="0">
      <alignment horizontal="left" vertical="center" indent="1"/>
    </xf>
    <xf numFmtId="0" fontId="79" fillId="0" borderId="0"/>
    <xf numFmtId="185" fontId="33" fillId="0" borderId="0" applyFont="0" applyFill="0" applyBorder="0" applyAlignment="0" applyProtection="0"/>
    <xf numFmtId="185" fontId="33" fillId="0" borderId="0" applyFont="0" applyFill="0" applyBorder="0" applyAlignment="0" applyProtection="0"/>
    <xf numFmtId="185"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185" fontId="33" fillId="0" borderId="0" applyFont="0" applyFill="0" applyBorder="0" applyAlignment="0" applyProtection="0"/>
    <xf numFmtId="185" fontId="33" fillId="0" borderId="0" applyFont="0" applyFill="0" applyBorder="0" applyAlignment="0" applyProtection="0"/>
    <xf numFmtId="185" fontId="33" fillId="0" borderId="0" applyFont="0" applyFill="0" applyBorder="0" applyAlignment="0" applyProtection="0"/>
    <xf numFmtId="185" fontId="33" fillId="0" borderId="0" applyFont="0" applyFill="0" applyBorder="0" applyAlignment="0" applyProtection="0"/>
    <xf numFmtId="196" fontId="33" fillId="0" borderId="0" applyFont="0" applyFill="0" applyBorder="0" applyAlignment="0" applyProtection="0"/>
    <xf numFmtId="197" fontId="58" fillId="0" borderId="0" applyFont="0" applyFill="0" applyBorder="0" applyAlignment="0" applyProtection="0"/>
    <xf numFmtId="197" fontId="58" fillId="0" borderId="0" applyFont="0" applyFill="0" applyBorder="0" applyAlignment="0" applyProtection="0"/>
    <xf numFmtId="197" fontId="58" fillId="0" borderId="0" applyFont="0" applyFill="0" applyBorder="0" applyAlignment="0" applyProtection="0"/>
    <xf numFmtId="197" fontId="58" fillId="0" borderId="0" applyFont="0" applyFill="0" applyBorder="0" applyAlignment="0" applyProtection="0"/>
    <xf numFmtId="10" fontId="33" fillId="0" borderId="0" applyFont="0" applyFill="0" applyBorder="0" applyAlignment="0" applyProtection="0"/>
    <xf numFmtId="0" fontId="80" fillId="0" borderId="82" applyBorder="0"/>
    <xf numFmtId="0" fontId="81" fillId="0" borderId="0"/>
    <xf numFmtId="0" fontId="82" fillId="0" borderId="0" applyNumberFormat="0"/>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0" fontId="53" fillId="0" borderId="0" applyFill="0" applyBorder="0" applyAlignment="0"/>
    <xf numFmtId="0" fontId="53" fillId="0" borderId="0" applyFill="0" applyBorder="0" applyAlignment="0"/>
    <xf numFmtId="0" fontId="53" fillId="0" borderId="0" applyFill="0" applyBorder="0" applyAlignment="0"/>
    <xf numFmtId="0" fontId="5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38" fontId="83" fillId="0" borderId="18" applyFont="0" applyBorder="0" applyProtection="0">
      <alignment horizontal="right" vertical="center"/>
    </xf>
    <xf numFmtId="0" fontId="84" fillId="0" borderId="107"/>
    <xf numFmtId="0" fontId="84" fillId="0" borderId="107"/>
    <xf numFmtId="0" fontId="84" fillId="0" borderId="107"/>
    <xf numFmtId="0" fontId="84" fillId="0" borderId="107"/>
    <xf numFmtId="0" fontId="84" fillId="0" borderId="107"/>
    <xf numFmtId="0" fontId="33" fillId="0" borderId="0"/>
    <xf numFmtId="0" fontId="85" fillId="0" borderId="0"/>
    <xf numFmtId="0" fontId="86" fillId="0" borderId="108"/>
    <xf numFmtId="0" fontId="86" fillId="0" borderId="108"/>
    <xf numFmtId="0" fontId="86" fillId="0" borderId="108"/>
    <xf numFmtId="0" fontId="86" fillId="0" borderId="108"/>
    <xf numFmtId="0" fontId="86" fillId="0" borderId="108"/>
    <xf numFmtId="49" fontId="55" fillId="0" borderId="0" applyFill="0" applyBorder="0" applyAlignment="0"/>
    <xf numFmtId="198" fontId="33" fillId="0" borderId="0" applyFill="0" applyBorder="0" applyAlignment="0"/>
    <xf numFmtId="198" fontId="33" fillId="0" borderId="0" applyFill="0" applyBorder="0" applyAlignment="0"/>
    <xf numFmtId="198" fontId="33"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198" fontId="33" fillId="0" borderId="0" applyFill="0" applyBorder="0" applyAlignment="0"/>
    <xf numFmtId="198" fontId="33" fillId="0" borderId="0" applyFill="0" applyBorder="0" applyAlignment="0"/>
    <xf numFmtId="198" fontId="33" fillId="0" borderId="0" applyFill="0" applyBorder="0" applyAlignment="0"/>
    <xf numFmtId="198" fontId="33" fillId="0" borderId="0" applyFill="0" applyBorder="0" applyAlignment="0"/>
    <xf numFmtId="199" fontId="33" fillId="0" borderId="0" applyFill="0" applyBorder="0" applyAlignment="0"/>
    <xf numFmtId="199" fontId="33" fillId="0" borderId="0" applyFill="0" applyBorder="0" applyAlignment="0"/>
    <xf numFmtId="199" fontId="33"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0" fontId="55" fillId="0" borderId="0" applyFill="0" applyBorder="0" applyAlignment="0"/>
    <xf numFmtId="199" fontId="33" fillId="0" borderId="0" applyFill="0" applyBorder="0" applyAlignment="0"/>
    <xf numFmtId="199" fontId="33" fillId="0" borderId="0" applyFill="0" applyBorder="0" applyAlignment="0"/>
    <xf numFmtId="199" fontId="33" fillId="0" borderId="0" applyFill="0" applyBorder="0" applyAlignment="0"/>
    <xf numFmtId="199" fontId="33" fillId="0" borderId="0" applyFill="0" applyBorder="0" applyAlignment="0"/>
    <xf numFmtId="0" fontId="87" fillId="55" borderId="0"/>
    <xf numFmtId="171" fontId="88" fillId="0" borderId="0">
      <alignment horizontal="left"/>
    </xf>
    <xf numFmtId="0" fontId="71" fillId="0" borderId="17" applyNumberFormat="0" applyFill="0" applyBorder="0" applyProtection="0">
      <alignment horizontal="center"/>
    </xf>
    <xf numFmtId="0" fontId="89" fillId="0" borderId="0"/>
    <xf numFmtId="200" fontId="33" fillId="0" borderId="0" applyFont="0" applyFill="0" applyBorder="0" applyAlignment="0" applyProtection="0"/>
    <xf numFmtId="201" fontId="33" fillId="0" borderId="0" applyFont="0" applyFill="0" applyBorder="0" applyAlignment="0" applyProtection="0"/>
    <xf numFmtId="0" fontId="79"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 fillId="15"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44" fontId="33" fillId="0" borderId="0" applyFont="0" applyFill="0" applyBorder="0" applyAlignment="0" applyProtection="0"/>
    <xf numFmtId="0" fontId="34" fillId="13" borderId="0" applyNumberFormat="0" applyBorder="0" applyAlignment="0" applyProtection="0"/>
    <xf numFmtId="0" fontId="42" fillId="29" borderId="0" applyNumberFormat="0" applyBorder="0" applyAlignment="0" applyProtection="0"/>
    <xf numFmtId="169" fontId="28" fillId="12" borderId="92">
      <alignment horizontal="right"/>
      <protection locked="0"/>
    </xf>
    <xf numFmtId="169" fontId="28" fillId="12" borderId="92">
      <alignment horizontal="right"/>
      <protection locked="0"/>
    </xf>
    <xf numFmtId="0" fontId="33" fillId="0" borderId="0"/>
    <xf numFmtId="0" fontId="33" fillId="0" borderId="0"/>
    <xf numFmtId="0" fontId="33" fillId="0" borderId="0"/>
    <xf numFmtId="0" fontId="33" fillId="0" borderId="0"/>
    <xf numFmtId="0" fontId="33" fillId="0" borderId="0"/>
    <xf numFmtId="0" fontId="2" fillId="0" borderId="0"/>
    <xf numFmtId="0" fontId="2" fillId="0" borderId="0"/>
    <xf numFmtId="0" fontId="33" fillId="0" borderId="0"/>
    <xf numFmtId="0" fontId="33" fillId="0" borderId="0"/>
    <xf numFmtId="0" fontId="2" fillId="0" borderId="0"/>
    <xf numFmtId="0" fontId="33" fillId="0" borderId="0"/>
    <xf numFmtId="0" fontId="33" fillId="0" borderId="0"/>
    <xf numFmtId="0" fontId="2" fillId="0" borderId="0"/>
    <xf numFmtId="0" fontId="2" fillId="0" borderId="0"/>
    <xf numFmtId="0" fontId="2" fillId="0" borderId="0"/>
    <xf numFmtId="0" fontId="33" fillId="0" borderId="0"/>
    <xf numFmtId="0" fontId="2" fillId="0" borderId="0"/>
    <xf numFmtId="0" fontId="2" fillId="0" borderId="0"/>
    <xf numFmtId="0" fontId="36" fillId="48" borderId="92" applyNumberFormat="0" applyFont="0" applyAlignment="0" applyProtection="0"/>
    <xf numFmtId="0" fontId="33" fillId="48" borderId="92" applyNumberFormat="0" applyFont="0" applyAlignment="0" applyProtection="0"/>
    <xf numFmtId="0" fontId="36" fillId="48" borderId="92" applyNumberFormat="0" applyFont="0" applyAlignment="0" applyProtection="0"/>
    <xf numFmtId="0" fontId="2" fillId="14" borderId="97" applyNumberFormat="0" applyFont="0" applyAlignment="0" applyProtection="0"/>
    <xf numFmtId="0" fontId="36" fillId="14" borderId="97" applyNumberFormat="0" applyFont="0" applyAlignment="0" applyProtection="0"/>
    <xf numFmtId="0" fontId="36" fillId="14" borderId="97" applyNumberFormat="0" applyFont="0" applyAlignment="0" applyProtection="0"/>
    <xf numFmtId="0" fontId="2" fillId="14" borderId="97" applyNumberFormat="0" applyFont="0" applyAlignment="0" applyProtection="0"/>
    <xf numFmtId="9" fontId="33" fillId="0" borderId="0" applyFont="0" applyFill="0" applyBorder="0" applyAlignment="0" applyProtection="0"/>
    <xf numFmtId="0" fontId="33" fillId="0" borderId="0"/>
    <xf numFmtId="0" fontId="33" fillId="48" borderId="92" applyNumberFormat="0" applyFont="0" applyAlignment="0" applyProtection="0"/>
    <xf numFmtId="0" fontId="33" fillId="0" borderId="0"/>
    <xf numFmtId="0" fontId="33" fillId="0" borderId="0"/>
    <xf numFmtId="43" fontId="33" fillId="0" borderId="0" applyFont="0" applyFill="0" applyBorder="0" applyAlignment="0" applyProtection="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2" fontId="33" fillId="0" borderId="0" applyFill="0" applyBorder="0" applyAlignment="0"/>
    <xf numFmtId="182" fontId="33" fillId="0" borderId="0" applyFill="0" applyBorder="0" applyAlignment="0"/>
    <xf numFmtId="182" fontId="33" fillId="0" borderId="0" applyFill="0" applyBorder="0" applyAlignment="0"/>
    <xf numFmtId="182" fontId="33" fillId="0" borderId="0" applyFill="0" applyBorder="0" applyAlignment="0"/>
    <xf numFmtId="184" fontId="33" fillId="0" borderId="0" applyFill="0" applyBorder="0" applyAlignment="0"/>
    <xf numFmtId="184" fontId="33" fillId="0" borderId="0" applyFill="0" applyBorder="0" applyAlignment="0"/>
    <xf numFmtId="184" fontId="33" fillId="0" borderId="0" applyFill="0" applyBorder="0" applyAlignment="0"/>
    <xf numFmtId="184"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6" fontId="60" fillId="0" borderId="11" applyNumberFormat="0" applyFill="0" applyBorder="0" applyAlignment="0" applyProtection="0">
      <protection locked="0"/>
    </xf>
    <xf numFmtId="180" fontId="33" fillId="0" borderId="0" applyFont="0" applyFill="0" applyBorder="0" applyAlignment="0" applyProtection="0"/>
    <xf numFmtId="180" fontId="33" fillId="0" borderId="0" applyFont="0" applyFill="0" applyBorder="0" applyAlignment="0" applyProtection="0"/>
    <xf numFmtId="180" fontId="33" fillId="0" borderId="0" applyFont="0" applyFill="0" applyBorder="0" applyAlignment="0" applyProtection="0"/>
    <xf numFmtId="180"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82" fontId="33" fillId="0" borderId="0" applyFont="0" applyFill="0" applyBorder="0" applyAlignment="0" applyProtection="0"/>
    <xf numFmtId="9" fontId="33" fillId="0" borderId="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4" fontId="33" fillId="0" borderId="0"/>
    <xf numFmtId="192" fontId="33" fillId="0" borderId="0" applyFill="0" applyBorder="0" applyAlignment="0" applyProtection="0"/>
    <xf numFmtId="0" fontId="33" fillId="0" borderId="0"/>
    <xf numFmtId="0" fontId="33" fillId="0" borderId="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196" fontId="33" fillId="0" borderId="0" applyFont="0" applyFill="0" applyBorder="0" applyAlignment="0" applyProtection="0"/>
    <xf numFmtId="10" fontId="33" fillId="0" borderId="0" applyFont="0" applyFill="0" applyBorder="0" applyAlignment="0" applyProtection="0"/>
    <xf numFmtId="9" fontId="33" fillId="0" borderId="0" applyFont="0" applyFill="0" applyBorder="0" applyAlignment="0" applyProtection="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14" borderId="97" applyNumberFormat="0" applyFont="0" applyAlignment="0" applyProtection="0"/>
    <xf numFmtId="0" fontId="33" fillId="0" borderId="0"/>
    <xf numFmtId="43" fontId="33" fillId="0" borderId="0" applyFont="0" applyFill="0" applyBorder="0" applyAlignment="0" applyProtection="0"/>
    <xf numFmtId="0" fontId="33" fillId="0" borderId="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5"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3"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0" fontId="36" fillId="36" borderId="0"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179" fontId="33" fillId="0" borderId="0" applyFill="0" applyBorder="0" applyAlignment="0"/>
    <xf numFmtId="179" fontId="33" fillId="0" borderId="0" applyFill="0" applyBorder="0" applyAlignment="0"/>
    <xf numFmtId="179"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78"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6"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0" fontId="72" fillId="0" borderId="0" applyFill="0" applyBorder="0" applyAlignment="0"/>
    <xf numFmtId="0" fontId="72" fillId="0" borderId="0" applyFill="0" applyBorder="0" applyAlignment="0"/>
    <xf numFmtId="0" fontId="72" fillId="0" borderId="0" applyFill="0" applyBorder="0" applyAlignment="0"/>
    <xf numFmtId="0" fontId="72"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87" fontId="33" fillId="0" borderId="0" applyFill="0" applyBorder="0" applyAlignment="0"/>
    <xf numFmtId="179" fontId="33" fillId="0" borderId="0" applyFill="0" applyBorder="0" applyAlignment="0"/>
    <xf numFmtId="179" fontId="33" fillId="0" borderId="0" applyFill="0" applyBorder="0" applyAlignment="0"/>
    <xf numFmtId="179"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80" fontId="33" fillId="0" borderId="0" applyFill="0" applyBorder="0" applyAlignment="0"/>
    <xf numFmtId="179" fontId="33" fillId="0" borderId="0" applyFill="0" applyBorder="0" applyAlignment="0"/>
    <xf numFmtId="179" fontId="33" fillId="0" borderId="0" applyFill="0" applyBorder="0" applyAlignment="0"/>
    <xf numFmtId="0" fontId="36" fillId="0" borderId="0"/>
    <xf numFmtId="179" fontId="33" fillId="0" borderId="0" applyFill="0" applyBorder="0" applyAlignment="0"/>
    <xf numFmtId="0" fontId="36" fillId="0" borderId="0"/>
    <xf numFmtId="179" fontId="33" fillId="0" borderId="0" applyFill="0" applyBorder="0" applyAlignment="0"/>
    <xf numFmtId="0" fontId="36" fillId="0" borderId="0"/>
    <xf numFmtId="0" fontId="73" fillId="0" borderId="0" applyNumberFormat="0" applyFill="0" applyBorder="0" applyAlignment="0" applyProtection="0">
      <alignment horizontal="right"/>
    </xf>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0" fontId="47" fillId="0" borderId="103" applyNumberFormat="0" applyFill="0" applyAlignment="0" applyProtection="0"/>
    <xf numFmtId="0" fontId="36" fillId="0" borderId="0"/>
    <xf numFmtId="184" fontId="33" fillId="0" borderId="0"/>
    <xf numFmtId="0" fontId="36" fillId="0" borderId="0"/>
    <xf numFmtId="184" fontId="33" fillId="0" borderId="0"/>
    <xf numFmtId="0" fontId="36" fillId="0" borderId="0"/>
    <xf numFmtId="0" fontId="74" fillId="0" borderId="0" applyNumberFormat="0"/>
    <xf numFmtId="0" fontId="36" fillId="0" borderId="0"/>
    <xf numFmtId="171" fontId="66" fillId="0" borderId="0" applyFill="0" applyBorder="0" applyAlignment="0">
      <alignment vertical="center"/>
    </xf>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36" fillId="0" borderId="0"/>
    <xf numFmtId="0" fontId="48" fillId="47" borderId="0" applyNumberFormat="0" applyBorder="0" applyAlignment="0" applyProtection="0"/>
    <xf numFmtId="0" fontId="2" fillId="0" borderId="0"/>
    <xf numFmtId="0" fontId="75" fillId="53" borderId="18" applyNumberFormat="0" applyFill="0" applyBorder="0" applyAlignment="0" applyProtection="0"/>
    <xf numFmtId="0" fontId="2" fillId="0" borderId="0"/>
    <xf numFmtId="0" fontId="76" fillId="0" borderId="18" applyNumberFormat="0" applyFill="0" applyBorder="0" applyAlignment="0" applyProtection="0"/>
    <xf numFmtId="0" fontId="2" fillId="0" borderId="0"/>
    <xf numFmtId="193" fontId="33" fillId="0" borderId="0"/>
    <xf numFmtId="0" fontId="2" fillId="0" borderId="0"/>
    <xf numFmtId="193" fontId="33" fillId="0" borderId="0"/>
    <xf numFmtId="0" fontId="2" fillId="0" borderId="0"/>
    <xf numFmtId="193" fontId="33" fillId="0" borderId="0"/>
    <xf numFmtId="0" fontId="2" fillId="0" borderId="0"/>
    <xf numFmtId="0" fontId="58" fillId="0" borderId="0"/>
    <xf numFmtId="0" fontId="2" fillId="0" borderId="0"/>
    <xf numFmtId="0" fontId="58" fillId="0" borderId="0"/>
    <xf numFmtId="0" fontId="2" fillId="0" borderId="0"/>
    <xf numFmtId="0" fontId="58" fillId="0" borderId="0"/>
    <xf numFmtId="0" fontId="2" fillId="0" borderId="0"/>
    <xf numFmtId="0" fontId="58" fillId="0" borderId="0"/>
    <xf numFmtId="0" fontId="2" fillId="0" borderId="0"/>
    <xf numFmtId="193" fontId="33" fillId="0" borderId="0"/>
    <xf numFmtId="0" fontId="2" fillId="0" borderId="0"/>
    <xf numFmtId="193" fontId="33" fillId="0" borderId="0"/>
    <xf numFmtId="0" fontId="2" fillId="0" borderId="0"/>
    <xf numFmtId="193" fontId="33" fillId="0" borderId="0"/>
    <xf numFmtId="0" fontId="2" fillId="0" borderId="0"/>
    <xf numFmtId="193" fontId="33" fillId="0" borderId="0"/>
    <xf numFmtId="0" fontId="2" fillId="0" borderId="0"/>
    <xf numFmtId="0" fontId="59" fillId="0" borderId="0"/>
    <xf numFmtId="0" fontId="2" fillId="0" borderId="0"/>
    <xf numFmtId="192" fontId="33" fillId="0" borderId="0" applyFill="0" applyBorder="0" applyAlignment="0" applyProtection="0"/>
    <xf numFmtId="0" fontId="2" fillId="0" borderId="0"/>
    <xf numFmtId="192" fontId="33" fillId="0" borderId="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8" fontId="33" fillId="0" borderId="0" applyBorder="0" applyAlignment="0" applyProtection="0"/>
    <xf numFmtId="0" fontId="2" fillId="0" borderId="0"/>
    <xf numFmtId="38" fontId="33" fillId="0" borderId="0" applyBorder="0" applyAlignment="0" applyProtection="0"/>
    <xf numFmtId="0" fontId="2" fillId="0" borderId="0"/>
    <xf numFmtId="38" fontId="33" fillId="0" borderId="0" applyBorder="0" applyAlignment="0" applyProtection="0"/>
    <xf numFmtId="0" fontId="2" fillId="0" borderId="0"/>
    <xf numFmtId="38" fontId="33" fillId="0" borderId="0" applyBorder="0" applyAlignment="0" applyProtection="0"/>
    <xf numFmtId="0" fontId="2" fillId="0" borderId="0"/>
    <xf numFmtId="38" fontId="33" fillId="0" borderId="0" applyBorder="0" applyAlignment="0" applyProtection="0"/>
    <xf numFmtId="0" fontId="2" fillId="0" borderId="0"/>
    <xf numFmtId="38" fontId="33" fillId="0" borderId="0" applyBorder="0" applyAlignment="0" applyProtection="0"/>
    <xf numFmtId="0" fontId="2" fillId="0" borderId="0"/>
    <xf numFmtId="38" fontId="33" fillId="0" borderId="0" applyBorder="0" applyAlignment="0" applyProtection="0"/>
    <xf numFmtId="0" fontId="2" fillId="0" borderId="0"/>
    <xf numFmtId="194" fontId="56" fillId="0" borderId="106" applyFill="0" applyBorder="0">
      <alignment horizontal="center"/>
    </xf>
    <xf numFmtId="0" fontId="2" fillId="0" borderId="0"/>
    <xf numFmtId="194" fontId="77" fillId="0" borderId="18" applyFill="0" applyBorder="0" applyProtection="0">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36" fillId="48" borderId="92" applyNumberFormat="0" applyFont="0" applyAlignment="0" applyProtection="0"/>
    <xf numFmtId="0" fontId="2" fillId="0" borderId="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36"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36" fillId="14" borderId="97" applyNumberFormat="0" applyFont="0" applyAlignment="0" applyProtection="0"/>
    <xf numFmtId="0" fontId="2" fillId="0" borderId="0"/>
    <xf numFmtId="0" fontId="2" fillId="0" borderId="0"/>
    <xf numFmtId="0" fontId="33" fillId="48" borderId="92" applyNumberFormat="0" applyFont="0" applyAlignment="0" applyProtection="0"/>
    <xf numFmtId="0" fontId="2" fillId="0" borderId="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36"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33" fillId="48" borderId="92" applyNumberFormat="0" applyFont="0" applyAlignment="0" applyProtection="0"/>
    <xf numFmtId="0" fontId="2" fillId="0" borderId="0"/>
    <xf numFmtId="0" fontId="33" fillId="48" borderId="9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14" borderId="97" applyNumberFormat="0" applyFont="0" applyAlignment="0" applyProtection="0"/>
    <xf numFmtId="0" fontId="2" fillId="0" borderId="0"/>
    <xf numFmtId="195" fontId="78" fillId="0" borderId="106" applyBorder="0">
      <alignment horizontal="center"/>
    </xf>
    <xf numFmtId="0" fontId="2" fillId="0" borderId="0"/>
    <xf numFmtId="174" fontId="35" fillId="0" borderId="0">
      <alignment horizontal="right"/>
    </xf>
    <xf numFmtId="0" fontId="2" fillId="0" borderId="0"/>
    <xf numFmtId="174" fontId="35" fillId="0" borderId="0">
      <alignment horizontal="right"/>
    </xf>
    <xf numFmtId="0" fontId="2" fillId="0" borderId="0"/>
    <xf numFmtId="174" fontId="35" fillId="0" borderId="0">
      <alignment horizontal="right"/>
    </xf>
    <xf numFmtId="0" fontId="2" fillId="0" borderId="0"/>
    <xf numFmtId="175" fontId="35" fillId="50" borderId="0">
      <alignment horizontal="right"/>
    </xf>
    <xf numFmtId="0" fontId="2" fillId="0" borderId="0"/>
    <xf numFmtId="175" fontId="35" fillId="50" borderId="0">
      <alignment horizontal="right"/>
    </xf>
    <xf numFmtId="0" fontId="2" fillId="0" borderId="0"/>
    <xf numFmtId="175" fontId="35" fillId="50" borderId="0">
      <alignment horizontal="right"/>
    </xf>
    <xf numFmtId="0" fontId="2" fillId="0" borderId="0"/>
    <xf numFmtId="173" fontId="35" fillId="0" borderId="0">
      <alignment horizontal="right"/>
    </xf>
    <xf numFmtId="0" fontId="2" fillId="0" borderId="0"/>
    <xf numFmtId="173" fontId="35" fillId="0" borderId="0">
      <alignment horizontal="right"/>
    </xf>
    <xf numFmtId="0" fontId="2" fillId="0" borderId="0"/>
    <xf numFmtId="173" fontId="35" fillId="0" borderId="0">
      <alignment horizontal="right"/>
    </xf>
    <xf numFmtId="0" fontId="2" fillId="0" borderId="0"/>
    <xf numFmtId="15" fontId="35" fillId="0" borderId="0">
      <alignment horizontal="right" vertical="center"/>
    </xf>
    <xf numFmtId="0" fontId="2" fillId="0" borderId="0"/>
    <xf numFmtId="15" fontId="35" fillId="0" borderId="0">
      <alignment horizontal="right" vertical="center"/>
    </xf>
    <xf numFmtId="0" fontId="2" fillId="0" borderId="0"/>
    <xf numFmtId="15" fontId="35" fillId="0" borderId="0">
      <alignment horizontal="right" vertical="center"/>
    </xf>
    <xf numFmtId="0" fontId="2" fillId="0" borderId="0"/>
    <xf numFmtId="171" fontId="35" fillId="0" borderId="0">
      <alignment horizontal="left" vertical="center" indent="1"/>
    </xf>
    <xf numFmtId="0" fontId="2" fillId="0" borderId="0"/>
    <xf numFmtId="171" fontId="35" fillId="0" borderId="0">
      <alignment horizontal="left" vertical="center" indent="1"/>
    </xf>
    <xf numFmtId="0" fontId="2" fillId="0" borderId="0"/>
    <xf numFmtId="0" fontId="35" fillId="0" borderId="0">
      <alignment horizontal="left" vertical="center" indent="1"/>
    </xf>
    <xf numFmtId="0" fontId="2" fillId="0" borderId="0"/>
    <xf numFmtId="171" fontId="35" fillId="0" borderId="0">
      <alignment horizontal="left" vertical="center" indent="1"/>
    </xf>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49" fillId="45" borderId="104" applyNumberFormat="0" applyAlignment="0" applyProtection="0"/>
    <xf numFmtId="0" fontId="2" fillId="0" borderId="0"/>
    <xf numFmtId="0" fontId="79" fillId="0" borderId="0"/>
    <xf numFmtId="0" fontId="2" fillId="0" borderId="0"/>
    <xf numFmtId="185" fontId="33" fillId="0" borderId="0" applyFont="0" applyFill="0" applyBorder="0" applyAlignment="0" applyProtection="0"/>
    <xf numFmtId="0" fontId="2" fillId="0" borderId="0"/>
    <xf numFmtId="185" fontId="33" fillId="0" borderId="0" applyFont="0" applyFill="0" applyBorder="0" applyAlignment="0" applyProtection="0"/>
    <xf numFmtId="0" fontId="2" fillId="0" borderId="0"/>
    <xf numFmtId="185"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0" fontId="33" fillId="0" borderId="0" applyFont="0" applyFill="0" applyBorder="0" applyAlignment="0" applyProtection="0"/>
    <xf numFmtId="0" fontId="2" fillId="0" borderId="0"/>
    <xf numFmtId="185" fontId="33" fillId="0" borderId="0" applyFont="0" applyFill="0" applyBorder="0" applyAlignment="0" applyProtection="0"/>
    <xf numFmtId="0" fontId="2" fillId="0" borderId="0"/>
    <xf numFmtId="185" fontId="33" fillId="0" borderId="0" applyFont="0" applyFill="0" applyBorder="0" applyAlignment="0" applyProtection="0"/>
    <xf numFmtId="0" fontId="2" fillId="0" borderId="0"/>
    <xf numFmtId="185" fontId="33" fillId="0" borderId="0" applyFont="0" applyFill="0" applyBorder="0" applyAlignment="0" applyProtection="0"/>
    <xf numFmtId="0" fontId="2" fillId="0" borderId="0"/>
    <xf numFmtId="185" fontId="33" fillId="0" borderId="0" applyFont="0" applyFill="0" applyBorder="0" applyAlignment="0" applyProtection="0"/>
    <xf numFmtId="0" fontId="2" fillId="0" borderId="0"/>
    <xf numFmtId="197" fontId="58" fillId="0" borderId="0" applyFont="0" applyFill="0" applyBorder="0" applyAlignment="0" applyProtection="0"/>
    <xf numFmtId="0" fontId="2" fillId="0" borderId="0"/>
    <xf numFmtId="197" fontId="58" fillId="0" borderId="0" applyFont="0" applyFill="0" applyBorder="0" applyAlignment="0" applyProtection="0"/>
    <xf numFmtId="0" fontId="2" fillId="0" borderId="0"/>
    <xf numFmtId="197" fontId="58" fillId="0" borderId="0" applyFont="0" applyFill="0" applyBorder="0" applyAlignment="0" applyProtection="0"/>
    <xf numFmtId="0" fontId="2" fillId="0" borderId="0"/>
    <xf numFmtId="197" fontId="58" fillId="0" borderId="0" applyFont="0" applyFill="0" applyBorder="0" applyAlignment="0" applyProtection="0"/>
    <xf numFmtId="0" fontId="2" fillId="0" borderId="0"/>
    <xf numFmtId="196" fontId="33" fillId="0" borderId="0" applyFont="0" applyFill="0" applyBorder="0" applyAlignment="0" applyProtection="0"/>
    <xf numFmtId="0" fontId="2" fillId="0" borderId="0"/>
    <xf numFmtId="196" fontId="33" fillId="0" borderId="0" applyFont="0" applyFill="0" applyBorder="0" applyAlignment="0" applyProtection="0"/>
    <xf numFmtId="0" fontId="2" fillId="0" borderId="0"/>
    <xf numFmtId="10" fontId="33" fillId="0" borderId="0" applyFont="0" applyFill="0" applyBorder="0" applyAlignment="0" applyProtection="0"/>
    <xf numFmtId="0" fontId="2" fillId="0" borderId="0"/>
    <xf numFmtId="10" fontId="33" fillId="0" borderId="0" applyFont="0" applyFill="0" applyBorder="0" applyAlignment="0" applyProtection="0"/>
    <xf numFmtId="0" fontId="2" fillId="0" borderId="0"/>
    <xf numFmtId="9" fontId="33" fillId="0" borderId="0" applyFont="0" applyFill="0" applyBorder="0" applyAlignment="0" applyProtection="0"/>
    <xf numFmtId="0" fontId="2" fillId="0" borderId="0"/>
    <xf numFmtId="9" fontId="33" fillId="0" borderId="0" applyFont="0" applyFill="0" applyBorder="0" applyAlignment="0" applyProtection="0"/>
    <xf numFmtId="0" fontId="2" fillId="0" borderId="0"/>
    <xf numFmtId="9" fontId="33" fillId="0" borderId="0" applyFont="0" applyFill="0" applyBorder="0" applyAlignment="0" applyProtection="0"/>
    <xf numFmtId="0" fontId="2" fillId="0" borderId="0"/>
    <xf numFmtId="0" fontId="80" fillId="0" borderId="82" applyBorder="0"/>
    <xf numFmtId="0" fontId="2" fillId="0" borderId="0"/>
    <xf numFmtId="0" fontId="81" fillId="0" borderId="0"/>
    <xf numFmtId="0" fontId="2" fillId="0" borderId="0"/>
    <xf numFmtId="0" fontId="82" fillId="0" borderId="0" applyNumberForma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78"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86" fontId="33" fillId="0" borderId="0" applyFill="0" applyBorder="0" applyAlignment="0"/>
    <xf numFmtId="0" fontId="2" fillId="0" borderId="0"/>
    <xf numFmtId="187" fontId="33" fillId="0" borderId="0" applyFill="0" applyBorder="0" applyAlignment="0"/>
    <xf numFmtId="0" fontId="2" fillId="0" borderId="0"/>
    <xf numFmtId="187" fontId="33" fillId="0" borderId="0" applyFill="0" applyBorder="0" applyAlignment="0"/>
    <xf numFmtId="0" fontId="2" fillId="0" borderId="0"/>
    <xf numFmtId="187" fontId="33" fillId="0" borderId="0" applyFill="0" applyBorder="0" applyAlignment="0"/>
    <xf numFmtId="0" fontId="2" fillId="0" borderId="0"/>
    <xf numFmtId="0" fontId="53" fillId="0" borderId="0" applyFill="0" applyBorder="0" applyAlignment="0"/>
    <xf numFmtId="0" fontId="2" fillId="0" borderId="0"/>
    <xf numFmtId="0" fontId="53" fillId="0" borderId="0" applyFill="0" applyBorder="0" applyAlignment="0"/>
    <xf numFmtId="0" fontId="2" fillId="0" borderId="0"/>
    <xf numFmtId="0" fontId="53" fillId="0" borderId="0" applyFill="0" applyBorder="0" applyAlignment="0"/>
    <xf numFmtId="0" fontId="2" fillId="0" borderId="0"/>
    <xf numFmtId="0" fontId="53" fillId="0" borderId="0" applyFill="0" applyBorder="0" applyAlignment="0"/>
    <xf numFmtId="0" fontId="2" fillId="0" borderId="0"/>
    <xf numFmtId="187" fontId="33" fillId="0" borderId="0" applyFill="0" applyBorder="0" applyAlignment="0"/>
    <xf numFmtId="0" fontId="2" fillId="0" borderId="0"/>
    <xf numFmtId="187" fontId="33" fillId="0" borderId="0" applyFill="0" applyBorder="0" applyAlignment="0"/>
    <xf numFmtId="0" fontId="2" fillId="0" borderId="0"/>
    <xf numFmtId="187" fontId="33" fillId="0" borderId="0" applyFill="0" applyBorder="0" applyAlignment="0"/>
    <xf numFmtId="0" fontId="2" fillId="0" borderId="0"/>
    <xf numFmtId="187"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80"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179" fontId="33" fillId="0" borderId="0" applyFill="0" applyBorder="0" applyAlignment="0"/>
    <xf numFmtId="0" fontId="2" fillId="0" borderId="0"/>
    <xf numFmtId="0" fontId="84" fillId="0" borderId="107"/>
    <xf numFmtId="0" fontId="2" fillId="0" borderId="0"/>
    <xf numFmtId="0" fontId="84" fillId="0" borderId="107"/>
    <xf numFmtId="0" fontId="2" fillId="0" borderId="0"/>
    <xf numFmtId="0" fontId="84" fillId="0" borderId="107"/>
    <xf numFmtId="0" fontId="2" fillId="0" borderId="0"/>
    <xf numFmtId="0" fontId="84" fillId="0" borderId="107"/>
    <xf numFmtId="0" fontId="2" fillId="0" borderId="0"/>
    <xf numFmtId="0" fontId="84" fillId="0" borderId="107"/>
    <xf numFmtId="0" fontId="2" fillId="0" borderId="0"/>
    <xf numFmtId="0" fontId="85" fillId="0" borderId="0"/>
    <xf numFmtId="0" fontId="2" fillId="0" borderId="0"/>
    <xf numFmtId="0" fontId="86" fillId="0" borderId="108"/>
    <xf numFmtId="0" fontId="2" fillId="0" borderId="0"/>
    <xf numFmtId="0" fontId="86" fillId="0" borderId="108"/>
    <xf numFmtId="0" fontId="2" fillId="0" borderId="0"/>
    <xf numFmtId="0" fontId="86" fillId="0" borderId="108"/>
    <xf numFmtId="0" fontId="2" fillId="0" borderId="0"/>
    <xf numFmtId="0" fontId="86" fillId="0" borderId="108"/>
    <xf numFmtId="0" fontId="2" fillId="0" borderId="0"/>
    <xf numFmtId="0" fontId="86" fillId="0" borderId="108"/>
    <xf numFmtId="0" fontId="2" fillId="0" borderId="0"/>
    <xf numFmtId="49" fontId="55" fillId="0" borderId="0" applyFill="0" applyBorder="0" applyAlignment="0"/>
    <xf numFmtId="0" fontId="2" fillId="0" borderId="0"/>
    <xf numFmtId="198" fontId="33" fillId="0" borderId="0" applyFill="0" applyBorder="0" applyAlignment="0"/>
    <xf numFmtId="0" fontId="2" fillId="0" borderId="0"/>
    <xf numFmtId="198" fontId="33" fillId="0" borderId="0" applyFill="0" applyBorder="0" applyAlignment="0"/>
    <xf numFmtId="0" fontId="2" fillId="0" borderId="0"/>
    <xf numFmtId="198" fontId="33" fillId="0" borderId="0" applyFill="0" applyBorder="0" applyAlignment="0"/>
    <xf numFmtId="0" fontId="2" fillId="0" borderId="0"/>
    <xf numFmtId="0" fontId="55" fillId="0" borderId="0" applyFill="0" applyBorder="0" applyAlignment="0"/>
    <xf numFmtId="0" fontId="2" fillId="0" borderId="0"/>
    <xf numFmtId="0" fontId="55" fillId="0" borderId="0" applyFill="0" applyBorder="0" applyAlignment="0"/>
    <xf numFmtId="0" fontId="2" fillId="0" borderId="0"/>
    <xf numFmtId="0" fontId="55" fillId="0" borderId="0" applyFill="0" applyBorder="0" applyAlignment="0"/>
    <xf numFmtId="0" fontId="2" fillId="0" borderId="0"/>
    <xf numFmtId="0" fontId="55" fillId="0" borderId="0" applyFill="0" applyBorder="0" applyAlignment="0"/>
    <xf numFmtId="0" fontId="2" fillId="0" borderId="0"/>
    <xf numFmtId="198" fontId="33" fillId="0" borderId="0" applyFill="0" applyBorder="0" applyAlignment="0"/>
    <xf numFmtId="0" fontId="2" fillId="0" borderId="0"/>
    <xf numFmtId="198" fontId="33" fillId="0" borderId="0" applyFill="0" applyBorder="0" applyAlignment="0"/>
    <xf numFmtId="0" fontId="2" fillId="0" borderId="0"/>
    <xf numFmtId="198" fontId="33" fillId="0" borderId="0" applyFill="0" applyBorder="0" applyAlignment="0"/>
    <xf numFmtId="0" fontId="2" fillId="0" borderId="0"/>
    <xf numFmtId="198" fontId="33" fillId="0" borderId="0" applyFill="0" applyBorder="0" applyAlignment="0"/>
    <xf numFmtId="0" fontId="2" fillId="0" borderId="0"/>
    <xf numFmtId="199" fontId="33" fillId="0" borderId="0" applyFill="0" applyBorder="0" applyAlignment="0"/>
    <xf numFmtId="0" fontId="2" fillId="0" borderId="0"/>
    <xf numFmtId="199" fontId="33" fillId="0" borderId="0" applyFill="0" applyBorder="0" applyAlignment="0"/>
    <xf numFmtId="0" fontId="2" fillId="0" borderId="0"/>
    <xf numFmtId="199" fontId="33" fillId="0" borderId="0" applyFill="0" applyBorder="0" applyAlignment="0"/>
    <xf numFmtId="0" fontId="2" fillId="0" borderId="0"/>
    <xf numFmtId="0" fontId="55" fillId="0" borderId="0" applyFill="0" applyBorder="0" applyAlignment="0"/>
    <xf numFmtId="0" fontId="2" fillId="0" borderId="0"/>
    <xf numFmtId="0" fontId="55" fillId="0" borderId="0" applyFill="0" applyBorder="0" applyAlignment="0"/>
    <xf numFmtId="0" fontId="2" fillId="0" borderId="0"/>
    <xf numFmtId="0" fontId="55" fillId="0" borderId="0" applyFill="0" applyBorder="0" applyAlignment="0"/>
    <xf numFmtId="0" fontId="2" fillId="0" borderId="0"/>
    <xf numFmtId="0" fontId="55" fillId="0" borderId="0" applyFill="0" applyBorder="0" applyAlignment="0"/>
    <xf numFmtId="0" fontId="2" fillId="0" borderId="0"/>
    <xf numFmtId="199" fontId="33" fillId="0" borderId="0" applyFill="0" applyBorder="0" applyAlignment="0"/>
    <xf numFmtId="0" fontId="2" fillId="0" borderId="0"/>
    <xf numFmtId="199" fontId="33" fillId="0" borderId="0" applyFill="0" applyBorder="0" applyAlignment="0"/>
    <xf numFmtId="0" fontId="2" fillId="0" borderId="0"/>
    <xf numFmtId="199" fontId="33" fillId="0" borderId="0" applyFill="0" applyBorder="0" applyAlignment="0"/>
    <xf numFmtId="0" fontId="2" fillId="0" borderId="0"/>
    <xf numFmtId="199" fontId="33" fillId="0" borderId="0" applyFill="0" applyBorder="0" applyAlignment="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0" fillId="0" borderId="0" applyNumberFormat="0" applyFill="0" applyBorder="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51" fillId="0" borderId="105" applyNumberFormat="0" applyFill="0" applyAlignment="0" applyProtection="0"/>
    <xf numFmtId="0" fontId="2" fillId="0" borderId="0"/>
    <xf numFmtId="0" fontId="87" fillId="55" borderId="0"/>
    <xf numFmtId="0" fontId="2" fillId="0" borderId="0"/>
    <xf numFmtId="171" fontId="88" fillId="0" borderId="0">
      <alignment horizontal="left"/>
    </xf>
    <xf numFmtId="0" fontId="2" fillId="0" borderId="0"/>
    <xf numFmtId="0" fontId="71" fillId="0" borderId="17" applyNumberFormat="0" applyFill="0" applyBorder="0" applyProtection="0">
      <alignment horizontal="center"/>
    </xf>
    <xf numFmtId="0" fontId="2" fillId="0" borderId="0"/>
    <xf numFmtId="0" fontId="89" fillId="0" borderId="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52" fillId="0" borderId="0" applyNumberFormat="0" applyFill="0" applyBorder="0" applyAlignment="0" applyProtection="0"/>
    <xf numFmtId="0" fontId="2" fillId="0" borderId="0"/>
    <xf numFmtId="0" fontId="79" fillId="0" borderId="0"/>
    <xf numFmtId="43" fontId="2" fillId="0" borderId="0" applyFont="0" applyFill="0" applyBorder="0" applyAlignment="0" applyProtection="0"/>
    <xf numFmtId="44" fontId="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8" fontId="61" fillId="0" borderId="115"/>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64" fillId="51" borderId="117" applyFill="0" applyBorder="0" applyAlignment="0" applyProtection="0">
      <alignment horizontal="left"/>
    </xf>
    <xf numFmtId="0" fontId="66" fillId="0" borderId="116">
      <alignment horizontal="left" vertical="center"/>
    </xf>
    <xf numFmtId="0" fontId="67" fillId="53" borderId="118" applyNumberFormat="0" applyFill="0" applyBorder="0" applyAlignment="0" applyProtection="0"/>
    <xf numFmtId="10" fontId="35" fillId="54" borderId="115" applyNumberFormat="0" applyBorder="0" applyAlignment="0" applyProtection="0"/>
    <xf numFmtId="0" fontId="71" fillId="0" borderId="118" applyNumberFormat="0" applyFill="0" applyBorder="0" applyProtection="0">
      <alignment horizontal="center"/>
    </xf>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71" fillId="0" borderId="118" applyNumberFormat="0" applyFill="0" applyBorder="0" applyProtection="0">
      <alignment horizontal="center"/>
    </xf>
    <xf numFmtId="1" fontId="93" fillId="0" borderId="0"/>
    <xf numFmtId="43" fontId="2" fillId="0" borderId="0" applyFont="0" applyFill="0" applyBorder="0" applyAlignment="0" applyProtection="0"/>
    <xf numFmtId="44" fontId="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8" fontId="61" fillId="0" borderId="121"/>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64" fillId="51" borderId="123" applyFill="0" applyBorder="0" applyAlignment="0" applyProtection="0">
      <alignment horizontal="left"/>
    </xf>
    <xf numFmtId="0" fontId="66" fillId="0" borderId="122">
      <alignment horizontal="left" vertical="center"/>
    </xf>
    <xf numFmtId="0" fontId="67" fillId="53" borderId="124" applyNumberFormat="0" applyFill="0" applyBorder="0" applyAlignment="0" applyProtection="0"/>
    <xf numFmtId="10" fontId="35" fillId="54" borderId="121" applyNumberFormat="0" applyBorder="0" applyAlignment="0" applyProtection="0"/>
    <xf numFmtId="0" fontId="71" fillId="0" borderId="124" applyNumberFormat="0" applyFill="0" applyBorder="0" applyProtection="0">
      <alignment horizontal="center"/>
    </xf>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0" fontId="71" fillId="0" borderId="124" applyNumberFormat="0" applyFill="0" applyBorder="0" applyProtection="0">
      <alignment horizontal="center"/>
    </xf>
    <xf numFmtId="0" fontId="36" fillId="27" borderId="0" applyNumberFormat="0" applyBorder="0" applyAlignment="0" applyProtection="0"/>
    <xf numFmtId="0" fontId="36" fillId="31" borderId="0" applyNumberFormat="0" applyBorder="0" applyAlignment="0" applyProtection="0"/>
    <xf numFmtId="0" fontId="36" fillId="48"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56" borderId="0" applyNumberFormat="0" applyBorder="0" applyAlignment="0" applyProtection="0"/>
    <xf numFmtId="0" fontId="36" fillId="31" borderId="0" applyNumberFormat="0" applyBorder="0" applyAlignment="0" applyProtection="0"/>
    <xf numFmtId="0" fontId="36" fillId="47"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29"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3"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34"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5"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3"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6" fillId="36"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0" fontId="36" fillId="34" borderId="0" applyNumberFormat="0" applyBorder="0" applyAlignment="0" applyProtection="0"/>
    <xf numFmtId="8" fontId="61" fillId="0" borderId="127"/>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cellStyleXfs>
  <cellXfs count="638">
    <xf numFmtId="0" fontId="0" fillId="0" borderId="0" xfId="0"/>
    <xf numFmtId="0" fontId="0" fillId="2" borderId="0" xfId="0" applyFill="1"/>
    <xf numFmtId="0" fontId="4" fillId="7" borderId="21" xfId="0" applyFont="1" applyFill="1" applyBorder="1"/>
    <xf numFmtId="164" fontId="0" fillId="2" borderId="0" xfId="1" applyNumberFormat="1" applyFont="1" applyFill="1"/>
    <xf numFmtId="0" fontId="4" fillId="5" borderId="21" xfId="0" applyFont="1" applyFill="1" applyBorder="1"/>
    <xf numFmtId="0" fontId="0" fillId="5" borderId="15" xfId="0" applyFill="1" applyBorder="1"/>
    <xf numFmtId="9" fontId="0" fillId="2" borderId="0" xfId="2" applyFont="1" applyFill="1"/>
    <xf numFmtId="0" fontId="0" fillId="10" borderId="0" xfId="0" applyFill="1"/>
    <xf numFmtId="0" fontId="23" fillId="10" borderId="0" xfId="0" applyFont="1" applyFill="1"/>
    <xf numFmtId="0" fontId="7" fillId="10" borderId="0" xfId="0" applyFont="1" applyFill="1"/>
    <xf numFmtId="0" fontId="7" fillId="10" borderId="1" xfId="0" applyFont="1" applyFill="1" applyBorder="1"/>
    <xf numFmtId="0" fontId="0" fillId="10" borderId="1" xfId="0" applyFill="1" applyBorder="1"/>
    <xf numFmtId="0" fontId="8" fillId="10" borderId="0" xfId="0" applyFont="1" applyFill="1"/>
    <xf numFmtId="0" fontId="15" fillId="10" borderId="6" xfId="0" applyFont="1" applyFill="1" applyBorder="1" applyAlignment="1">
      <alignment horizontal="center" vertical="center" wrapText="1"/>
    </xf>
    <xf numFmtId="0" fontId="13" fillId="10" borderId="0" xfId="0" applyFont="1" applyFill="1" applyAlignment="1">
      <alignment vertical="center" wrapText="1"/>
    </xf>
    <xf numFmtId="0" fontId="4" fillId="10" borderId="0" xfId="0" applyFont="1" applyFill="1"/>
    <xf numFmtId="165" fontId="0" fillId="10" borderId="54" xfId="4" applyNumberFormat="1" applyFont="1" applyFill="1" applyBorder="1"/>
    <xf numFmtId="165" fontId="0" fillId="10" borderId="55" xfId="4" applyNumberFormat="1" applyFont="1" applyFill="1" applyBorder="1"/>
    <xf numFmtId="165" fontId="0" fillId="10" borderId="57" xfId="4" applyNumberFormat="1" applyFont="1" applyFill="1" applyBorder="1"/>
    <xf numFmtId="165" fontId="0" fillId="10" borderId="40" xfId="4" applyNumberFormat="1" applyFont="1" applyFill="1" applyBorder="1"/>
    <xf numFmtId="165" fontId="0" fillId="10" borderId="34" xfId="4" applyNumberFormat="1" applyFont="1" applyFill="1" applyBorder="1"/>
    <xf numFmtId="164" fontId="0" fillId="10" borderId="68" xfId="1" applyNumberFormat="1" applyFont="1" applyFill="1" applyBorder="1"/>
    <xf numFmtId="164" fontId="0" fillId="10" borderId="69" xfId="1" applyNumberFormat="1" applyFont="1" applyFill="1" applyBorder="1"/>
    <xf numFmtId="164" fontId="0" fillId="10" borderId="46" xfId="1" applyNumberFormat="1" applyFont="1" applyFill="1" applyBorder="1"/>
    <xf numFmtId="164" fontId="0" fillId="10" borderId="50" xfId="1" applyNumberFormat="1" applyFont="1" applyFill="1" applyBorder="1"/>
    <xf numFmtId="164" fontId="0" fillId="10" borderId="70" xfId="1" applyNumberFormat="1" applyFont="1" applyFill="1" applyBorder="1"/>
    <xf numFmtId="164" fontId="0" fillId="10" borderId="45" xfId="1" applyNumberFormat="1" applyFont="1" applyFill="1" applyBorder="1"/>
    <xf numFmtId="164" fontId="0" fillId="10" borderId="47" xfId="1" applyNumberFormat="1" applyFont="1" applyFill="1" applyBorder="1"/>
    <xf numFmtId="164" fontId="0" fillId="10" borderId="49" xfId="1" applyNumberFormat="1" applyFont="1" applyFill="1" applyBorder="1"/>
    <xf numFmtId="164" fontId="0" fillId="10" borderId="51" xfId="1" applyNumberFormat="1" applyFont="1" applyFill="1" applyBorder="1"/>
    <xf numFmtId="0" fontId="0" fillId="9" borderId="0" xfId="0" applyFill="1"/>
    <xf numFmtId="0" fontId="0" fillId="9" borderId="0" xfId="0" applyFill="1" applyAlignment="1">
      <alignment horizontal="left"/>
    </xf>
    <xf numFmtId="0" fontId="16" fillId="9" borderId="0" xfId="0" applyFont="1" applyFill="1"/>
    <xf numFmtId="0" fontId="0" fillId="10" borderId="0" xfId="0" applyFill="1" applyProtection="1">
      <protection locked="0"/>
    </xf>
    <xf numFmtId="0" fontId="0" fillId="10" borderId="54" xfId="0" applyFill="1" applyBorder="1"/>
    <xf numFmtId="0" fontId="0" fillId="10" borderId="57" xfId="0" applyFill="1" applyBorder="1"/>
    <xf numFmtId="0" fontId="0" fillId="10" borderId="68" xfId="0" applyFill="1" applyBorder="1"/>
    <xf numFmtId="0" fontId="0" fillId="10" borderId="70" xfId="0" applyFill="1" applyBorder="1"/>
    <xf numFmtId="0" fontId="0" fillId="10" borderId="90" xfId="0" applyFill="1" applyBorder="1"/>
    <xf numFmtId="0" fontId="0" fillId="10" borderId="67" xfId="0" applyFill="1" applyBorder="1"/>
    <xf numFmtId="0" fontId="0" fillId="9" borderId="60" xfId="0" applyFill="1" applyBorder="1"/>
    <xf numFmtId="9" fontId="0" fillId="9" borderId="0" xfId="2" applyFont="1" applyFill="1"/>
    <xf numFmtId="43" fontId="4" fillId="7" borderId="21" xfId="1" applyFont="1" applyFill="1" applyBorder="1"/>
    <xf numFmtId="164" fontId="4" fillId="7" borderId="21" xfId="1" applyNumberFormat="1" applyFont="1" applyFill="1" applyBorder="1"/>
    <xf numFmtId="164" fontId="0" fillId="9" borderId="0" xfId="1" applyNumberFormat="1" applyFont="1" applyFill="1"/>
    <xf numFmtId="0" fontId="9" fillId="9" borderId="0" xfId="3" applyFill="1" applyProtection="1">
      <protection locked="0"/>
    </xf>
    <xf numFmtId="164" fontId="0" fillId="9" borderId="0" xfId="0" applyNumberFormat="1" applyFill="1"/>
    <xf numFmtId="0" fontId="5" fillId="9" borderId="0" xfId="0" applyFont="1" applyFill="1"/>
    <xf numFmtId="0" fontId="4" fillId="9" borderId="0" xfId="0" applyFont="1" applyFill="1"/>
    <xf numFmtId="164" fontId="0" fillId="9" borderId="0" xfId="1" applyNumberFormat="1" applyFont="1" applyFill="1" applyProtection="1"/>
    <xf numFmtId="168" fontId="0" fillId="9" borderId="0" xfId="0" applyNumberFormat="1" applyFill="1"/>
    <xf numFmtId="44" fontId="0" fillId="9" borderId="0" xfId="4" applyFont="1" applyFill="1"/>
    <xf numFmtId="165" fontId="0" fillId="2" borderId="0" xfId="4" applyNumberFormat="1" applyFont="1" applyFill="1"/>
    <xf numFmtId="165" fontId="0" fillId="9" borderId="0" xfId="4" applyNumberFormat="1" applyFont="1" applyFill="1"/>
    <xf numFmtId="9" fontId="0" fillId="9" borderId="0" xfId="2" applyFont="1" applyFill="1" applyBorder="1"/>
    <xf numFmtId="165" fontId="0" fillId="6" borderId="28" xfId="4" applyNumberFormat="1" applyFont="1" applyFill="1" applyBorder="1" applyProtection="1">
      <protection locked="0"/>
    </xf>
    <xf numFmtId="165" fontId="0" fillId="6" borderId="29" xfId="4" applyNumberFormat="1" applyFont="1" applyFill="1" applyBorder="1" applyProtection="1">
      <protection locked="0"/>
    </xf>
    <xf numFmtId="10" fontId="0" fillId="2" borderId="0" xfId="2" applyNumberFormat="1" applyFont="1" applyFill="1"/>
    <xf numFmtId="10" fontId="0" fillId="9" borderId="0" xfId="2" applyNumberFormat="1" applyFont="1" applyFill="1"/>
    <xf numFmtId="10" fontId="0" fillId="9" borderId="0" xfId="2" applyNumberFormat="1" applyFont="1" applyFill="1" applyBorder="1" applyAlignment="1">
      <alignment wrapText="1"/>
    </xf>
    <xf numFmtId="10" fontId="0" fillId="9" borderId="0" xfId="2" applyNumberFormat="1" applyFont="1" applyFill="1" applyBorder="1"/>
    <xf numFmtId="165" fontId="0" fillId="9" borderId="0" xfId="4" applyNumberFormat="1" applyFont="1" applyFill="1" applyBorder="1"/>
    <xf numFmtId="167" fontId="0" fillId="6" borderId="78" xfId="4" applyNumberFormat="1" applyFont="1" applyFill="1" applyBorder="1" applyProtection="1">
      <protection locked="0"/>
    </xf>
    <xf numFmtId="165" fontId="0" fillId="6" borderId="78" xfId="4" applyNumberFormat="1" applyFont="1" applyFill="1" applyBorder="1" applyProtection="1">
      <protection locked="0"/>
    </xf>
    <xf numFmtId="165" fontId="0" fillId="10" borderId="68" xfId="4" applyNumberFormat="1" applyFont="1" applyFill="1" applyBorder="1"/>
    <xf numFmtId="165" fontId="0" fillId="10" borderId="69" xfId="4" applyNumberFormat="1" applyFont="1" applyFill="1" applyBorder="1"/>
    <xf numFmtId="165" fontId="0" fillId="10" borderId="70" xfId="4" applyNumberFormat="1" applyFont="1" applyFill="1" applyBorder="1"/>
    <xf numFmtId="165" fontId="0" fillId="10" borderId="41" xfId="4" applyNumberFormat="1" applyFont="1" applyFill="1" applyBorder="1"/>
    <xf numFmtId="2" fontId="0" fillId="2" borderId="0" xfId="0" applyNumberFormat="1" applyFill="1"/>
    <xf numFmtId="2" fontId="0" fillId="9" borderId="0" xfId="0" applyNumberFormat="1" applyFill="1"/>
    <xf numFmtId="166" fontId="0" fillId="6" borderId="56" xfId="0" applyNumberFormat="1" applyFill="1" applyBorder="1" applyProtection="1">
      <protection locked="0"/>
    </xf>
    <xf numFmtId="165" fontId="0" fillId="0" borderId="77" xfId="4" applyNumberFormat="1" applyFont="1" applyFill="1" applyBorder="1" applyProtection="1">
      <protection locked="0"/>
    </xf>
    <xf numFmtId="165" fontId="0" fillId="0" borderId="23" xfId="4" applyNumberFormat="1" applyFont="1" applyFill="1" applyBorder="1" applyProtection="1">
      <protection locked="0"/>
    </xf>
    <xf numFmtId="164" fontId="0" fillId="0" borderId="28" xfId="1" applyNumberFormat="1" applyFont="1" applyFill="1" applyBorder="1" applyProtection="1">
      <protection locked="0"/>
    </xf>
    <xf numFmtId="165" fontId="0" fillId="0" borderId="27" xfId="4" applyNumberFormat="1" applyFont="1" applyFill="1" applyBorder="1" applyProtection="1">
      <protection locked="0"/>
    </xf>
    <xf numFmtId="165" fontId="0" fillId="0" borderId="29" xfId="4" applyNumberFormat="1" applyFont="1" applyFill="1" applyBorder="1" applyProtection="1">
      <protection locked="0"/>
    </xf>
    <xf numFmtId="9" fontId="0" fillId="0" borderId="23" xfId="2" applyFont="1" applyFill="1" applyBorder="1" applyProtection="1">
      <protection locked="0"/>
    </xf>
    <xf numFmtId="10" fontId="0" fillId="0" borderId="28" xfId="2" applyNumberFormat="1" applyFont="1" applyFill="1" applyBorder="1" applyProtection="1">
      <protection locked="0"/>
    </xf>
    <xf numFmtId="164" fontId="2" fillId="0" borderId="23" xfId="1" applyNumberFormat="1" applyFont="1" applyFill="1" applyBorder="1" applyAlignment="1" applyProtection="1">
      <alignment horizontal="center"/>
      <protection locked="0"/>
    </xf>
    <xf numFmtId="164" fontId="0" fillId="0" borderId="23" xfId="2" applyNumberFormat="1" applyFont="1" applyFill="1" applyBorder="1" applyProtection="1">
      <protection locked="0"/>
    </xf>
    <xf numFmtId="164" fontId="2" fillId="0" borderId="46" xfId="1" applyNumberFormat="1" applyFont="1" applyFill="1" applyBorder="1" applyProtection="1">
      <protection locked="0"/>
    </xf>
    <xf numFmtId="164" fontId="2" fillId="0" borderId="52" xfId="1" applyNumberFormat="1" applyFont="1" applyFill="1" applyBorder="1" applyProtection="1">
      <protection locked="0"/>
    </xf>
    <xf numFmtId="164" fontId="2" fillId="0" borderId="47" xfId="1" applyNumberFormat="1" applyFont="1" applyFill="1" applyBorder="1" applyProtection="1">
      <protection locked="0"/>
    </xf>
    <xf numFmtId="164" fontId="2" fillId="0" borderId="23" xfId="2" applyNumberFormat="1" applyFont="1" applyFill="1" applyBorder="1" applyProtection="1">
      <protection locked="0"/>
    </xf>
    <xf numFmtId="164" fontId="2" fillId="0" borderId="24" xfId="1" applyNumberFormat="1" applyFont="1" applyFill="1" applyBorder="1" applyAlignment="1" applyProtection="1">
      <alignment horizontal="center"/>
      <protection locked="0"/>
    </xf>
    <xf numFmtId="164" fontId="2" fillId="0" borderId="24" xfId="2" applyNumberFormat="1" applyFont="1" applyFill="1" applyBorder="1" applyProtection="1">
      <protection locked="0"/>
    </xf>
    <xf numFmtId="164" fontId="2" fillId="0" borderId="50" xfId="1" applyNumberFormat="1" applyFont="1" applyFill="1" applyBorder="1" applyProtection="1">
      <protection locked="0"/>
    </xf>
    <xf numFmtId="164" fontId="2" fillId="0" borderId="53" xfId="1" applyNumberFormat="1" applyFont="1" applyFill="1" applyBorder="1" applyProtection="1">
      <protection locked="0"/>
    </xf>
    <xf numFmtId="164" fontId="2" fillId="0" borderId="51" xfId="1" applyNumberFormat="1" applyFont="1" applyFill="1" applyBorder="1" applyProtection="1">
      <protection locked="0"/>
    </xf>
    <xf numFmtId="164" fontId="2" fillId="0" borderId="20" xfId="1" applyNumberFormat="1" applyFont="1" applyFill="1" applyBorder="1" applyAlignment="1" applyProtection="1">
      <alignment horizontal="center"/>
    </xf>
    <xf numFmtId="164" fontId="0" fillId="6" borderId="40" xfId="1" applyNumberFormat="1" applyFont="1" applyFill="1" applyBorder="1" applyAlignment="1">
      <alignment vertical="center"/>
    </xf>
    <xf numFmtId="164" fontId="0" fillId="6" borderId="34" xfId="1" applyNumberFormat="1" applyFont="1" applyFill="1" applyBorder="1" applyAlignment="1">
      <alignment vertical="center"/>
    </xf>
    <xf numFmtId="164" fontId="2" fillId="6" borderId="20" xfId="1" applyNumberFormat="1" applyFont="1" applyFill="1" applyBorder="1" applyAlignment="1" applyProtection="1">
      <alignment horizontal="center"/>
    </xf>
    <xf numFmtId="164" fontId="0" fillId="0" borderId="40" xfId="1" applyNumberFormat="1" applyFont="1" applyFill="1" applyBorder="1" applyProtection="1">
      <protection locked="0"/>
    </xf>
    <xf numFmtId="164" fontId="0" fillId="0" borderId="34" xfId="1" applyNumberFormat="1" applyFont="1" applyFill="1" applyBorder="1" applyProtection="1">
      <protection locked="0"/>
    </xf>
    <xf numFmtId="164" fontId="16" fillId="6" borderId="41" xfId="0" applyNumberFormat="1" applyFont="1" applyFill="1" applyBorder="1" applyAlignment="1">
      <alignment horizontal="center" wrapText="1"/>
    </xf>
    <xf numFmtId="164" fontId="16" fillId="6" borderId="40" xfId="0" applyNumberFormat="1" applyFont="1" applyFill="1" applyBorder="1" applyAlignment="1">
      <alignment horizontal="center" wrapText="1"/>
    </xf>
    <xf numFmtId="164" fontId="2" fillId="0" borderId="68" xfId="2" applyNumberFormat="1" applyFont="1" applyFill="1" applyBorder="1" applyProtection="1">
      <protection locked="0"/>
    </xf>
    <xf numFmtId="164" fontId="2" fillId="0" borderId="69" xfId="2" applyNumberFormat="1" applyFont="1" applyFill="1" applyBorder="1" applyProtection="1">
      <protection locked="0"/>
    </xf>
    <xf numFmtId="164" fontId="2" fillId="0" borderId="46" xfId="2" applyNumberFormat="1" applyFont="1" applyFill="1" applyBorder="1" applyProtection="1">
      <protection locked="0"/>
    </xf>
    <xf numFmtId="164" fontId="2" fillId="0" borderId="70" xfId="2" applyNumberFormat="1" applyFont="1" applyFill="1" applyBorder="1" applyProtection="1">
      <protection locked="0"/>
    </xf>
    <xf numFmtId="164" fontId="2" fillId="0" borderId="45" xfId="2" applyNumberFormat="1" applyFont="1" applyFill="1" applyBorder="1" applyProtection="1">
      <protection locked="0"/>
    </xf>
    <xf numFmtId="164" fontId="2" fillId="0" borderId="47" xfId="2" applyNumberFormat="1" applyFont="1" applyFill="1" applyBorder="1" applyProtection="1">
      <protection locked="0"/>
    </xf>
    <xf numFmtId="9" fontId="0" fillId="9" borderId="0" xfId="0" applyNumberFormat="1" applyFill="1"/>
    <xf numFmtId="0" fontId="6" fillId="9" borderId="0" xfId="0" applyFont="1" applyFill="1"/>
    <xf numFmtId="0" fontId="0" fillId="9" borderId="83" xfId="0" applyFill="1" applyBorder="1"/>
    <xf numFmtId="164" fontId="0" fillId="9" borderId="0" xfId="1" applyNumberFormat="1" applyFont="1" applyFill="1" applyBorder="1"/>
    <xf numFmtId="0" fontId="4" fillId="7" borderId="13" xfId="0" applyFont="1" applyFill="1" applyBorder="1"/>
    <xf numFmtId="0" fontId="0" fillId="0" borderId="94" xfId="0" applyBorder="1" applyProtection="1">
      <protection locked="0"/>
    </xf>
    <xf numFmtId="0" fontId="0" fillId="0" borderId="33" xfId="0" applyBorder="1" applyProtection="1">
      <protection locked="0"/>
    </xf>
    <xf numFmtId="0" fontId="0" fillId="0" borderId="77" xfId="0" applyBorder="1" applyProtection="1">
      <protection locked="0"/>
    </xf>
    <xf numFmtId="0" fontId="0" fillId="0" borderId="28"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0" borderId="75" xfId="0" applyBorder="1" applyProtection="1">
      <protection locked="0"/>
    </xf>
    <xf numFmtId="0" fontId="0" fillId="0" borderId="22" xfId="0" applyBorder="1" applyProtection="1">
      <protection locked="0"/>
    </xf>
    <xf numFmtId="166" fontId="0" fillId="9" borderId="0" xfId="0" applyNumberFormat="1" applyFill="1"/>
    <xf numFmtId="166" fontId="4" fillId="7" borderId="21" xfId="0" applyNumberFormat="1" applyFont="1" applyFill="1" applyBorder="1"/>
    <xf numFmtId="166" fontId="0" fillId="0" borderId="96" xfId="0" applyNumberFormat="1" applyBorder="1" applyProtection="1">
      <protection locked="0"/>
    </xf>
    <xf numFmtId="2" fontId="4" fillId="7" borderId="15" xfId="0" applyNumberFormat="1" applyFont="1" applyFill="1" applyBorder="1"/>
    <xf numFmtId="0" fontId="0" fillId="9" borderId="0" xfId="0" applyFill="1" applyAlignment="1">
      <alignment vertical="center" wrapText="1"/>
    </xf>
    <xf numFmtId="2" fontId="4" fillId="7" borderId="21" xfId="1" applyNumberFormat="1" applyFont="1" applyFill="1" applyBorder="1"/>
    <xf numFmtId="43" fontId="0" fillId="0" borderId="28" xfId="1" applyFont="1" applyBorder="1" applyProtection="1">
      <protection locked="0"/>
    </xf>
    <xf numFmtId="1" fontId="4" fillId="7" borderId="21" xfId="0" applyNumberFormat="1" applyFont="1" applyFill="1" applyBorder="1"/>
    <xf numFmtId="44" fontId="0" fillId="9" borderId="0" xfId="4" applyFont="1" applyFill="1" applyBorder="1"/>
    <xf numFmtId="44" fontId="4" fillId="7" borderId="21" xfId="4" applyFont="1" applyFill="1" applyBorder="1"/>
    <xf numFmtId="166" fontId="0" fillId="9" borderId="0" xfId="0" applyNumberFormat="1" applyFill="1" applyAlignment="1">
      <alignment horizontal="left"/>
    </xf>
    <xf numFmtId="1" fontId="0" fillId="9" borderId="0" xfId="0" applyNumberFormat="1" applyFill="1" applyAlignment="1">
      <alignment horizontal="left"/>
    </xf>
    <xf numFmtId="0" fontId="9" fillId="9" borderId="0" xfId="3" applyFill="1" applyAlignment="1" applyProtection="1">
      <alignment horizontal="left"/>
      <protection locked="0"/>
    </xf>
    <xf numFmtId="0" fontId="13" fillId="9" borderId="0" xfId="0" applyFont="1" applyFill="1" applyAlignment="1">
      <alignment horizontal="left"/>
    </xf>
    <xf numFmtId="43" fontId="0" fillId="9" borderId="0" xfId="1" applyFont="1" applyFill="1" applyBorder="1" applyAlignment="1">
      <alignment horizontal="left"/>
    </xf>
    <xf numFmtId="164" fontId="0" fillId="9" borderId="0" xfId="1" applyNumberFormat="1" applyFont="1" applyFill="1" applyBorder="1" applyAlignment="1">
      <alignment horizontal="left"/>
    </xf>
    <xf numFmtId="2" fontId="0" fillId="9" borderId="0" xfId="1" applyNumberFormat="1" applyFont="1" applyFill="1" applyBorder="1" applyAlignment="1">
      <alignment horizontal="left"/>
    </xf>
    <xf numFmtId="43" fontId="0" fillId="9" borderId="0" xfId="1" applyFont="1" applyFill="1" applyBorder="1"/>
    <xf numFmtId="2" fontId="0" fillId="9" borderId="0" xfId="1" applyNumberFormat="1" applyFont="1" applyFill="1" applyBorder="1"/>
    <xf numFmtId="1" fontId="0" fillId="9" borderId="0" xfId="0" applyNumberFormat="1" applyFill="1"/>
    <xf numFmtId="165" fontId="0" fillId="10" borderId="90" xfId="4" applyNumberFormat="1" applyFont="1" applyFill="1" applyBorder="1"/>
    <xf numFmtId="165" fontId="0" fillId="10" borderId="66" xfId="4" applyNumberFormat="1" applyFont="1" applyFill="1" applyBorder="1"/>
    <xf numFmtId="165" fontId="0" fillId="10" borderId="67" xfId="4" applyNumberFormat="1" applyFont="1" applyFill="1" applyBorder="1"/>
    <xf numFmtId="164" fontId="0" fillId="0" borderId="78" xfId="1" applyNumberFormat="1" applyFont="1" applyBorder="1" applyProtection="1">
      <protection locked="0"/>
    </xf>
    <xf numFmtId="165" fontId="0" fillId="0" borderId="28" xfId="4" applyNumberFormat="1" applyFont="1" applyBorder="1" applyProtection="1">
      <protection locked="0"/>
    </xf>
    <xf numFmtId="164" fontId="0" fillId="0" borderId="28" xfId="1" applyNumberFormat="1" applyFont="1" applyBorder="1" applyProtection="1">
      <protection locked="0"/>
    </xf>
    <xf numFmtId="0" fontId="0" fillId="9" borderId="60" xfId="0" applyFill="1" applyBorder="1" applyAlignment="1">
      <alignment vertical="center" wrapText="1"/>
    </xf>
    <xf numFmtId="0" fontId="0" fillId="2" borderId="0" xfId="0" applyFill="1" applyAlignment="1">
      <alignment vertical="center" wrapText="1"/>
    </xf>
    <xf numFmtId="1" fontId="0" fillId="0" borderId="79" xfId="0" applyNumberFormat="1" applyBorder="1" applyProtection="1">
      <protection locked="0"/>
    </xf>
    <xf numFmtId="1" fontId="0" fillId="0" borderId="75" xfId="0" applyNumberFormat="1" applyBorder="1" applyProtection="1">
      <protection locked="0"/>
    </xf>
    <xf numFmtId="42" fontId="0" fillId="0" borderId="28" xfId="4" applyNumberFormat="1" applyFont="1" applyFill="1" applyBorder="1" applyProtection="1">
      <protection locked="0"/>
    </xf>
    <xf numFmtId="10" fontId="0" fillId="0" borderId="40" xfId="1" applyNumberFormat="1" applyFont="1" applyFill="1" applyBorder="1" applyProtection="1">
      <protection locked="0"/>
    </xf>
    <xf numFmtId="10" fontId="0" fillId="0" borderId="34" xfId="1" applyNumberFormat="1" applyFont="1" applyFill="1" applyBorder="1" applyProtection="1">
      <protection locked="0"/>
    </xf>
    <xf numFmtId="10" fontId="0" fillId="0" borderId="8" xfId="4" applyNumberFormat="1" applyFont="1" applyFill="1" applyBorder="1" applyProtection="1">
      <protection locked="0"/>
    </xf>
    <xf numFmtId="0" fontId="0" fillId="0" borderId="80" xfId="0" applyBorder="1" applyProtection="1">
      <protection locked="0"/>
    </xf>
    <xf numFmtId="165" fontId="0" fillId="0" borderId="24" xfId="4" applyNumberFormat="1" applyFont="1" applyFill="1" applyBorder="1" applyProtection="1">
      <protection locked="0"/>
    </xf>
    <xf numFmtId="165" fontId="0" fillId="0" borderId="31" xfId="4" applyNumberFormat="1" applyFont="1" applyFill="1" applyBorder="1" applyProtection="1">
      <protection locked="0"/>
    </xf>
    <xf numFmtId="0" fontId="0" fillId="9" borderId="13" xfId="0" applyFill="1" applyBorder="1"/>
    <xf numFmtId="0" fontId="16" fillId="4" borderId="39" xfId="0" applyFont="1" applyFill="1" applyBorder="1" applyAlignment="1">
      <alignment horizontal="center" wrapText="1"/>
    </xf>
    <xf numFmtId="0" fontId="16" fillId="4" borderId="33" xfId="0" applyFont="1" applyFill="1" applyBorder="1" applyAlignment="1">
      <alignment horizontal="center" wrapText="1"/>
    </xf>
    <xf numFmtId="0" fontId="16" fillId="4" borderId="26" xfId="0" applyFont="1" applyFill="1" applyBorder="1" applyAlignment="1">
      <alignment horizontal="center" wrapText="1"/>
    </xf>
    <xf numFmtId="0" fontId="16" fillId="4" borderId="16" xfId="0" applyFont="1" applyFill="1" applyBorder="1" applyAlignment="1">
      <alignment horizontal="center" wrapText="1"/>
    </xf>
    <xf numFmtId="43" fontId="16" fillId="4" borderId="26" xfId="1" applyFont="1" applyFill="1" applyBorder="1" applyAlignment="1">
      <alignment horizontal="center" wrapText="1"/>
    </xf>
    <xf numFmtId="166" fontId="16" fillId="4" borderId="35" xfId="0" applyNumberFormat="1" applyFont="1" applyFill="1" applyBorder="1" applyAlignment="1">
      <alignment horizontal="center" wrapText="1"/>
    </xf>
    <xf numFmtId="0" fontId="16" fillId="4" borderId="35" xfId="0" applyFont="1" applyFill="1" applyBorder="1" applyAlignment="1">
      <alignment horizontal="center" wrapText="1"/>
    </xf>
    <xf numFmtId="164" fontId="16" fillId="4" borderId="64" xfId="1" applyNumberFormat="1" applyFont="1" applyFill="1" applyBorder="1" applyAlignment="1">
      <alignment horizontal="center" wrapText="1"/>
    </xf>
    <xf numFmtId="43" fontId="16" fillId="4" borderId="26" xfId="1" applyFont="1" applyFill="1" applyBorder="1" applyAlignment="1" applyProtection="1">
      <alignment horizontal="center" wrapText="1"/>
    </xf>
    <xf numFmtId="2" fontId="16" fillId="4" borderId="35" xfId="1" applyNumberFormat="1" applyFont="1" applyFill="1" applyBorder="1" applyAlignment="1" applyProtection="1">
      <alignment horizontal="center" wrapText="1"/>
    </xf>
    <xf numFmtId="166" fontId="16" fillId="4" borderId="16" xfId="0" applyNumberFormat="1" applyFont="1" applyFill="1" applyBorder="1" applyAlignment="1">
      <alignment horizontal="center" wrapText="1"/>
    </xf>
    <xf numFmtId="1" fontId="16" fillId="4" borderId="26" xfId="0" applyNumberFormat="1" applyFont="1" applyFill="1" applyBorder="1" applyAlignment="1">
      <alignment horizontal="center" wrapText="1"/>
    </xf>
    <xf numFmtId="3" fontId="16" fillId="4" borderId="42" xfId="0" applyNumberFormat="1" applyFont="1" applyFill="1" applyBorder="1" applyAlignment="1">
      <alignment textRotation="90"/>
    </xf>
    <xf numFmtId="44" fontId="0" fillId="9" borderId="0" xfId="4" applyFont="1" applyFill="1" applyAlignment="1">
      <alignment horizontal="left"/>
    </xf>
    <xf numFmtId="43" fontId="5" fillId="9" borderId="0" xfId="1" applyFont="1" applyFill="1" applyBorder="1" applyAlignment="1"/>
    <xf numFmtId="164" fontId="5" fillId="9" borderId="0" xfId="1" applyNumberFormat="1" applyFont="1" applyFill="1" applyBorder="1" applyAlignment="1"/>
    <xf numFmtId="0" fontId="6" fillId="3" borderId="13" xfId="0" applyFont="1" applyFill="1" applyBorder="1"/>
    <xf numFmtId="0" fontId="5" fillId="3" borderId="13" xfId="0" applyFont="1" applyFill="1" applyBorder="1"/>
    <xf numFmtId="0" fontId="0" fillId="3" borderId="13" xfId="0" applyFill="1" applyBorder="1"/>
    <xf numFmtId="0" fontId="33" fillId="9" borderId="0" xfId="7" applyFill="1"/>
    <xf numFmtId="0" fontId="0" fillId="9" borderId="0" xfId="0" applyFill="1" applyProtection="1">
      <protection locked="0"/>
    </xf>
    <xf numFmtId="164" fontId="0" fillId="9" borderId="0" xfId="1" applyNumberFormat="1" applyFont="1" applyFill="1" applyBorder="1" applyProtection="1">
      <protection locked="0"/>
    </xf>
    <xf numFmtId="166" fontId="0" fillId="9" borderId="0" xfId="0" applyNumberFormat="1" applyFill="1" applyProtection="1">
      <protection locked="0"/>
    </xf>
    <xf numFmtId="165" fontId="0" fillId="9" borderId="0" xfId="4" applyNumberFormat="1" applyFont="1" applyFill="1" applyBorder="1" applyProtection="1">
      <protection locked="0"/>
    </xf>
    <xf numFmtId="1" fontId="0" fillId="9" borderId="0" xfId="0" applyNumberFormat="1" applyFill="1" applyProtection="1">
      <protection locked="0"/>
    </xf>
    <xf numFmtId="3" fontId="16" fillId="9" borderId="0" xfId="0" applyNumberFormat="1" applyFont="1" applyFill="1"/>
    <xf numFmtId="0" fontId="0" fillId="0" borderId="86" xfId="0" applyBorder="1" applyProtection="1">
      <protection locked="0"/>
    </xf>
    <xf numFmtId="164" fontId="16" fillId="4" borderId="26" xfId="1" applyNumberFormat="1" applyFont="1" applyFill="1" applyBorder="1" applyAlignment="1">
      <alignment horizontal="center" wrapText="1"/>
    </xf>
    <xf numFmtId="44" fontId="16" fillId="4" borderId="16" xfId="4" applyFont="1" applyFill="1" applyBorder="1" applyAlignment="1">
      <alignment horizontal="center" wrapText="1"/>
    </xf>
    <xf numFmtId="164" fontId="16" fillId="4" borderId="35" xfId="1" applyNumberFormat="1" applyFont="1" applyFill="1" applyBorder="1" applyAlignment="1" applyProtection="1">
      <alignment horizontal="center" wrapText="1"/>
    </xf>
    <xf numFmtId="0" fontId="6" fillId="9" borderId="0" xfId="0" applyFont="1" applyFill="1" applyAlignment="1">
      <alignment horizontal="left"/>
    </xf>
    <xf numFmtId="0" fontId="5" fillId="9" borderId="0" xfId="0" applyFont="1" applyFill="1" applyAlignment="1">
      <alignment horizontal="left"/>
    </xf>
    <xf numFmtId="9" fontId="0" fillId="0" borderId="40" xfId="2" applyFont="1" applyFill="1" applyBorder="1" applyProtection="1">
      <protection locked="0"/>
    </xf>
    <xf numFmtId="43" fontId="6" fillId="9" borderId="0" xfId="1" applyFont="1" applyFill="1" applyAlignment="1"/>
    <xf numFmtId="164" fontId="6" fillId="9" borderId="0" xfId="1" applyNumberFormat="1" applyFont="1" applyFill="1" applyAlignment="1"/>
    <xf numFmtId="0" fontId="5" fillId="9" borderId="13" xfId="0" applyFont="1" applyFill="1" applyBorder="1"/>
    <xf numFmtId="0" fontId="16" fillId="9" borderId="83" xfId="0" applyFont="1" applyFill="1" applyBorder="1"/>
    <xf numFmtId="0" fontId="0" fillId="9" borderId="65" xfId="0" applyFill="1" applyBorder="1"/>
    <xf numFmtId="0" fontId="0" fillId="9" borderId="65" xfId="0" applyFill="1" applyBorder="1" applyAlignment="1">
      <alignment vertical="center" wrapText="1"/>
    </xf>
    <xf numFmtId="10" fontId="0" fillId="9" borderId="0" xfId="4" applyNumberFormat="1" applyFont="1" applyFill="1" applyBorder="1" applyProtection="1">
      <protection locked="0"/>
    </xf>
    <xf numFmtId="10" fontId="0" fillId="9" borderId="0" xfId="0" applyNumberFormat="1" applyFill="1" applyProtection="1">
      <protection locked="0"/>
    </xf>
    <xf numFmtId="165" fontId="0" fillId="0" borderId="89" xfId="4" applyNumberFormat="1" applyFont="1" applyFill="1" applyBorder="1" applyProtection="1">
      <protection locked="0"/>
    </xf>
    <xf numFmtId="165" fontId="0" fillId="3" borderId="20" xfId="0" applyNumberFormat="1" applyFill="1" applyBorder="1" applyProtection="1">
      <protection locked="0"/>
    </xf>
    <xf numFmtId="165" fontId="0" fillId="6" borderId="30" xfId="4" applyNumberFormat="1" applyFont="1" applyFill="1" applyBorder="1" applyProtection="1">
      <protection locked="0"/>
    </xf>
    <xf numFmtId="165" fontId="0" fillId="6" borderId="31" xfId="4" applyNumberFormat="1" applyFont="1" applyFill="1" applyBorder="1" applyProtection="1">
      <protection locked="0"/>
    </xf>
    <xf numFmtId="42" fontId="0" fillId="0" borderId="30" xfId="4" applyNumberFormat="1" applyFont="1" applyFill="1" applyBorder="1" applyProtection="1">
      <protection locked="0"/>
    </xf>
    <xf numFmtId="10" fontId="0" fillId="0" borderId="95" xfId="4" applyNumberFormat="1" applyFont="1" applyFill="1" applyBorder="1" applyProtection="1">
      <protection locked="0"/>
    </xf>
    <xf numFmtId="165" fontId="0" fillId="6" borderId="59" xfId="4" applyNumberFormat="1" applyFont="1" applyFill="1" applyBorder="1" applyProtection="1">
      <protection locked="0"/>
    </xf>
    <xf numFmtId="165" fontId="0" fillId="6" borderId="76" xfId="4" applyNumberFormat="1" applyFont="1" applyFill="1" applyBorder="1" applyProtection="1">
      <protection locked="0"/>
    </xf>
    <xf numFmtId="165" fontId="0" fillId="3" borderId="62" xfId="0" applyNumberFormat="1" applyFill="1" applyBorder="1" applyProtection="1">
      <protection locked="0"/>
    </xf>
    <xf numFmtId="165" fontId="0" fillId="0" borderId="112" xfId="4" applyNumberFormat="1" applyFont="1" applyFill="1" applyBorder="1" applyProtection="1">
      <protection locked="0"/>
    </xf>
    <xf numFmtId="165" fontId="0" fillId="0" borderId="88" xfId="4" applyNumberFormat="1" applyFont="1" applyFill="1" applyBorder="1" applyProtection="1">
      <protection locked="0"/>
    </xf>
    <xf numFmtId="164" fontId="0" fillId="0" borderId="29" xfId="1" applyNumberFormat="1" applyFont="1" applyFill="1" applyBorder="1" applyProtection="1">
      <protection locked="0"/>
    </xf>
    <xf numFmtId="165" fontId="0" fillId="0" borderId="72" xfId="4" applyNumberFormat="1" applyFont="1" applyFill="1" applyBorder="1" applyProtection="1">
      <protection locked="0"/>
    </xf>
    <xf numFmtId="164" fontId="0" fillId="0" borderId="80" xfId="1" applyNumberFormat="1" applyFont="1" applyFill="1" applyBorder="1" applyProtection="1">
      <protection locked="0"/>
    </xf>
    <xf numFmtId="164" fontId="0" fillId="0" borderId="31" xfId="1" applyNumberFormat="1" applyFont="1" applyFill="1" applyBorder="1" applyProtection="1">
      <protection locked="0"/>
    </xf>
    <xf numFmtId="0" fontId="0" fillId="0" borderId="41" xfId="0" applyBorder="1" applyProtection="1">
      <protection locked="0"/>
    </xf>
    <xf numFmtId="165" fontId="0" fillId="0" borderId="59" xfId="4" applyNumberFormat="1" applyFont="1" applyFill="1" applyBorder="1" applyProtection="1">
      <protection locked="0"/>
    </xf>
    <xf numFmtId="167" fontId="0" fillId="6" borderId="30" xfId="4" applyNumberFormat="1" applyFont="1" applyFill="1" applyBorder="1" applyProtection="1">
      <protection locked="0"/>
    </xf>
    <xf numFmtId="9" fontId="0" fillId="9" borderId="60" xfId="2" applyFont="1" applyFill="1" applyBorder="1"/>
    <xf numFmtId="10" fontId="0" fillId="0" borderId="29" xfId="2" applyNumberFormat="1" applyFont="1" applyFill="1" applyBorder="1" applyProtection="1">
      <protection locked="0"/>
    </xf>
    <xf numFmtId="164" fontId="0" fillId="0" borderId="36" xfId="1" applyNumberFormat="1" applyFont="1" applyFill="1" applyBorder="1" applyProtection="1">
      <protection locked="0"/>
    </xf>
    <xf numFmtId="164" fontId="0" fillId="0" borderId="37" xfId="1" applyNumberFormat="1" applyFont="1" applyFill="1" applyBorder="1" applyProtection="1">
      <protection locked="0"/>
    </xf>
    <xf numFmtId="164" fontId="0" fillId="0" borderId="38" xfId="1" applyNumberFormat="1" applyFont="1" applyFill="1" applyBorder="1" applyProtection="1">
      <protection locked="0"/>
    </xf>
    <xf numFmtId="165" fontId="0" fillId="0" borderId="73" xfId="4" applyNumberFormat="1" applyFont="1" applyFill="1" applyBorder="1" applyProtection="1">
      <protection locked="0"/>
    </xf>
    <xf numFmtId="165" fontId="0" fillId="6" borderId="40" xfId="4" applyNumberFormat="1" applyFont="1" applyFill="1" applyBorder="1" applyProtection="1">
      <protection locked="0"/>
    </xf>
    <xf numFmtId="165" fontId="0" fillId="6" borderId="34" xfId="4" applyNumberFormat="1" applyFont="1" applyFill="1" applyBorder="1" applyProtection="1">
      <protection locked="0"/>
    </xf>
    <xf numFmtId="2" fontId="0" fillId="9" borderId="0" xfId="0" applyNumberFormat="1" applyFill="1" applyProtection="1">
      <protection locked="0"/>
    </xf>
    <xf numFmtId="10" fontId="0" fillId="9" borderId="0" xfId="2" applyNumberFormat="1" applyFont="1" applyFill="1" applyBorder="1" applyProtection="1">
      <protection locked="0"/>
    </xf>
    <xf numFmtId="9" fontId="0" fillId="9" borderId="0" xfId="2" applyFont="1" applyFill="1" applyBorder="1" applyAlignment="1" applyProtection="1">
      <alignment wrapText="1"/>
      <protection locked="0"/>
    </xf>
    <xf numFmtId="3" fontId="16" fillId="9" borderId="84" xfId="0" applyNumberFormat="1" applyFont="1" applyFill="1" applyBorder="1"/>
    <xf numFmtId="165" fontId="0" fillId="3" borderId="13" xfId="4" applyNumberFormat="1" applyFont="1" applyFill="1" applyBorder="1" applyProtection="1">
      <protection locked="0"/>
    </xf>
    <xf numFmtId="164" fontId="16" fillId="6" borderId="34" xfId="0" applyNumberFormat="1" applyFont="1" applyFill="1" applyBorder="1" applyAlignment="1">
      <alignment horizontal="center" wrapText="1"/>
    </xf>
    <xf numFmtId="164" fontId="2" fillId="0" borderId="49" xfId="2" applyNumberFormat="1" applyFont="1" applyFill="1" applyBorder="1" applyProtection="1">
      <protection locked="0"/>
    </xf>
    <xf numFmtId="164" fontId="2" fillId="0" borderId="50" xfId="2" applyNumberFormat="1" applyFont="1" applyFill="1" applyBorder="1" applyProtection="1">
      <protection locked="0"/>
    </xf>
    <xf numFmtId="164" fontId="2" fillId="0" borderId="51" xfId="2" applyNumberFormat="1" applyFont="1" applyFill="1" applyBorder="1" applyProtection="1">
      <protection locked="0"/>
    </xf>
    <xf numFmtId="0" fontId="4" fillId="0" borderId="13" xfId="0" applyFont="1" applyBorder="1"/>
    <xf numFmtId="3" fontId="32" fillId="0" borderId="63" xfId="0" applyNumberFormat="1" applyFont="1" applyBorder="1" applyAlignment="1">
      <alignment vertical="center" wrapText="1"/>
    </xf>
    <xf numFmtId="3" fontId="32" fillId="0" borderId="114" xfId="0" applyNumberFormat="1" applyFont="1" applyBorder="1" applyAlignment="1">
      <alignment vertical="center" wrapText="1"/>
    </xf>
    <xf numFmtId="0" fontId="6" fillId="9" borderId="0" xfId="0" applyFont="1" applyFill="1" applyAlignment="1">
      <alignment horizontal="center"/>
    </xf>
    <xf numFmtId="10" fontId="0" fillId="0" borderId="37" xfId="4" applyNumberFormat="1" applyFont="1" applyFill="1" applyBorder="1" applyProtection="1">
      <protection locked="0"/>
    </xf>
    <xf numFmtId="10" fontId="0" fillId="0" borderId="59" xfId="4" applyNumberFormat="1" applyFont="1" applyFill="1" applyBorder="1" applyProtection="1">
      <protection locked="0"/>
    </xf>
    <xf numFmtId="10" fontId="0" fillId="3" borderId="25" xfId="2" applyNumberFormat="1" applyFont="1" applyFill="1" applyBorder="1" applyAlignment="1" applyProtection="1">
      <alignment wrapText="1"/>
      <protection locked="0"/>
    </xf>
    <xf numFmtId="10" fontId="0" fillId="9" borderId="84" xfId="2" applyNumberFormat="1" applyFont="1" applyFill="1" applyBorder="1"/>
    <xf numFmtId="0" fontId="4" fillId="5" borderId="14" xfId="0" applyFont="1" applyFill="1" applyBorder="1" applyAlignment="1">
      <alignment horizontal="center"/>
    </xf>
    <xf numFmtId="0" fontId="4" fillId="10" borderId="14" xfId="0" applyFont="1" applyFill="1" applyBorder="1" applyAlignment="1">
      <alignment horizontal="center" vertical="center" wrapText="1"/>
    </xf>
    <xf numFmtId="1" fontId="0" fillId="9" borderId="81" xfId="0" applyNumberFormat="1" applyFill="1" applyBorder="1" applyProtection="1">
      <protection locked="0"/>
    </xf>
    <xf numFmtId="0" fontId="5" fillId="3" borderId="14" xfId="0" applyFont="1" applyFill="1" applyBorder="1"/>
    <xf numFmtId="0" fontId="5" fillId="3" borderId="21" xfId="0" applyFont="1" applyFill="1" applyBorder="1"/>
    <xf numFmtId="0" fontId="5" fillId="3" borderId="15" xfId="0" applyFont="1" applyFill="1" applyBorder="1"/>
    <xf numFmtId="17" fontId="0" fillId="10" borderId="1" xfId="0" applyNumberFormat="1" applyFill="1" applyBorder="1"/>
    <xf numFmtId="0" fontId="0" fillId="0" borderId="29" xfId="0" applyBorder="1" applyProtection="1">
      <protection locked="0"/>
    </xf>
    <xf numFmtId="0" fontId="0" fillId="0" borderId="73" xfId="0" applyBorder="1"/>
    <xf numFmtId="0" fontId="0" fillId="0" borderId="74" xfId="0" applyBorder="1" applyProtection="1">
      <protection locked="0"/>
    </xf>
    <xf numFmtId="0" fontId="0" fillId="0" borderId="32" xfId="0" applyBorder="1" applyProtection="1">
      <protection locked="0"/>
    </xf>
    <xf numFmtId="0" fontId="0" fillId="0" borderId="30" xfId="0" applyBorder="1" applyProtection="1">
      <protection locked="0"/>
    </xf>
    <xf numFmtId="0" fontId="0" fillId="0" borderId="24" xfId="0" applyBorder="1" applyProtection="1">
      <protection locked="0"/>
    </xf>
    <xf numFmtId="166" fontId="0" fillId="6" borderId="34" xfId="0" applyNumberFormat="1" applyFill="1" applyBorder="1" applyProtection="1">
      <protection locked="0"/>
    </xf>
    <xf numFmtId="9" fontId="0" fillId="0" borderId="24" xfId="2" applyFont="1" applyFill="1" applyBorder="1" applyProtection="1">
      <protection locked="0"/>
    </xf>
    <xf numFmtId="10" fontId="0" fillId="0" borderId="30" xfId="2" applyNumberFormat="1" applyFont="1" applyFill="1" applyBorder="1" applyProtection="1">
      <protection locked="0"/>
    </xf>
    <xf numFmtId="0" fontId="0" fillId="0" borderId="31" xfId="0" applyBorder="1" applyProtection="1">
      <protection locked="0"/>
    </xf>
    <xf numFmtId="0" fontId="0" fillId="0" borderId="73" xfId="0" applyBorder="1" applyProtection="1">
      <protection locked="0"/>
    </xf>
    <xf numFmtId="0" fontId="0" fillId="0" borderId="71" xfId="0" applyBorder="1"/>
    <xf numFmtId="1" fontId="0" fillId="0" borderId="80" xfId="0" applyNumberFormat="1" applyBorder="1" applyProtection="1">
      <protection locked="0"/>
    </xf>
    <xf numFmtId="10" fontId="0" fillId="0" borderId="31" xfId="2" applyNumberFormat="1" applyFont="1" applyFill="1" applyBorder="1" applyProtection="1">
      <protection locked="0"/>
    </xf>
    <xf numFmtId="0" fontId="0" fillId="0" borderId="34" xfId="0" applyBorder="1" applyProtection="1">
      <protection locked="0"/>
    </xf>
    <xf numFmtId="10" fontId="0" fillId="0" borderId="111" xfId="2" applyNumberFormat="1" applyFont="1" applyFill="1" applyBorder="1" applyProtection="1">
      <protection locked="0"/>
    </xf>
    <xf numFmtId="1" fontId="0" fillId="0" borderId="40" xfId="0" applyNumberFormat="1" applyBorder="1" applyProtection="1">
      <protection locked="0"/>
    </xf>
    <xf numFmtId="1" fontId="0" fillId="0" borderId="34" xfId="0" applyNumberFormat="1" applyBorder="1" applyProtection="1">
      <protection locked="0"/>
    </xf>
    <xf numFmtId="164" fontId="2" fillId="0" borderId="62" xfId="1" applyNumberFormat="1" applyFont="1" applyFill="1" applyBorder="1" applyProtection="1">
      <protection locked="0"/>
    </xf>
    <xf numFmtId="164" fontId="0" fillId="9" borderId="65" xfId="1" applyNumberFormat="1" applyFont="1" applyFill="1" applyBorder="1" applyProtection="1"/>
    <xf numFmtId="164" fontId="2" fillId="0" borderId="120" xfId="1" applyNumberFormat="1" applyFont="1" applyFill="1" applyBorder="1" applyProtection="1">
      <protection locked="0"/>
    </xf>
    <xf numFmtId="164" fontId="2" fillId="0" borderId="70" xfId="1" applyNumberFormat="1" applyFont="1" applyFill="1" applyBorder="1" applyProtection="1">
      <protection locked="0"/>
    </xf>
    <xf numFmtId="170" fontId="0" fillId="0" borderId="75" xfId="0" applyNumberFormat="1" applyBorder="1" applyProtection="1">
      <protection locked="0"/>
    </xf>
    <xf numFmtId="0" fontId="0" fillId="0" borderId="82" xfId="0" applyBorder="1"/>
    <xf numFmtId="170" fontId="0" fillId="0" borderId="80" xfId="0" applyNumberFormat="1" applyBorder="1" applyProtection="1">
      <protection locked="0"/>
    </xf>
    <xf numFmtId="166" fontId="90" fillId="3" borderId="20" xfId="0" applyNumberFormat="1" applyFont="1" applyFill="1" applyBorder="1" applyProtection="1">
      <protection locked="0"/>
    </xf>
    <xf numFmtId="166" fontId="0" fillId="6" borderId="28" xfId="0" applyNumberFormat="1" applyFill="1" applyBorder="1" applyProtection="1">
      <protection locked="0"/>
    </xf>
    <xf numFmtId="2" fontId="0" fillId="9" borderId="0" xfId="0" applyNumberFormat="1" applyFill="1" applyAlignment="1">
      <alignment horizontal="left"/>
    </xf>
    <xf numFmtId="165" fontId="0" fillId="0" borderId="85" xfId="4" applyNumberFormat="1" applyFont="1" applyFill="1" applyBorder="1" applyProtection="1">
      <protection locked="0"/>
    </xf>
    <xf numFmtId="165" fontId="0" fillId="0" borderId="95" xfId="4" applyNumberFormat="1" applyFont="1" applyFill="1" applyBorder="1" applyProtection="1">
      <protection locked="0"/>
    </xf>
    <xf numFmtId="164" fontId="0" fillId="0" borderId="93" xfId="1" applyNumberFormat="1" applyFont="1" applyFill="1" applyBorder="1" applyProtection="1">
      <protection locked="0"/>
    </xf>
    <xf numFmtId="2" fontId="0" fillId="0" borderId="78" xfId="1" applyNumberFormat="1" applyFont="1" applyFill="1" applyBorder="1" applyProtection="1">
      <protection locked="0"/>
    </xf>
    <xf numFmtId="0" fontId="0" fillId="0" borderId="113" xfId="0" applyBorder="1" applyProtection="1">
      <protection locked="0"/>
    </xf>
    <xf numFmtId="2" fontId="0" fillId="0" borderId="31" xfId="0" applyNumberFormat="1" applyBorder="1" applyProtection="1">
      <protection locked="0"/>
    </xf>
    <xf numFmtId="165" fontId="0" fillId="0" borderId="38" xfId="4" applyNumberFormat="1" applyFont="1" applyFill="1" applyBorder="1" applyProtection="1">
      <protection locked="0"/>
    </xf>
    <xf numFmtId="166" fontId="0" fillId="3" borderId="40" xfId="0" applyNumberFormat="1" applyFill="1" applyBorder="1" applyProtection="1">
      <protection locked="0"/>
    </xf>
    <xf numFmtId="166" fontId="0" fillId="3" borderId="34" xfId="0" applyNumberFormat="1" applyFill="1" applyBorder="1" applyProtection="1">
      <protection locked="0"/>
    </xf>
    <xf numFmtId="1" fontId="0" fillId="3" borderId="63" xfId="0" applyNumberFormat="1" applyFill="1" applyBorder="1" applyProtection="1">
      <protection locked="0"/>
    </xf>
    <xf numFmtId="1" fontId="0" fillId="3" borderId="28" xfId="0" applyNumberFormat="1" applyFill="1" applyBorder="1" applyProtection="1">
      <protection locked="0"/>
    </xf>
    <xf numFmtId="1" fontId="0" fillId="3" borderId="30" xfId="0" applyNumberFormat="1" applyFill="1" applyBorder="1" applyProtection="1">
      <protection locked="0"/>
    </xf>
    <xf numFmtId="0" fontId="0" fillId="0" borderId="63" xfId="0" applyBorder="1" applyProtection="1">
      <protection locked="0"/>
    </xf>
    <xf numFmtId="166" fontId="0" fillId="0" borderId="94" xfId="0" applyNumberFormat="1" applyBorder="1" applyProtection="1">
      <protection locked="0"/>
    </xf>
    <xf numFmtId="166" fontId="0" fillId="6" borderId="27" xfId="0" applyNumberFormat="1" applyFill="1" applyBorder="1" applyProtection="1">
      <protection locked="0"/>
    </xf>
    <xf numFmtId="166" fontId="0" fillId="6" borderId="29" xfId="0" applyNumberFormat="1" applyFill="1" applyBorder="1" applyProtection="1">
      <protection locked="0"/>
    </xf>
    <xf numFmtId="166" fontId="0" fillId="6" borderId="31" xfId="0" applyNumberFormat="1" applyFill="1" applyBorder="1" applyProtection="1">
      <protection locked="0"/>
    </xf>
    <xf numFmtId="2" fontId="0" fillId="3" borderId="75" xfId="1" applyNumberFormat="1" applyFont="1" applyFill="1" applyBorder="1" applyProtection="1">
      <protection locked="0"/>
    </xf>
    <xf numFmtId="166" fontId="0" fillId="6" borderId="32" xfId="0" applyNumberFormat="1" applyFill="1" applyBorder="1" applyProtection="1">
      <protection locked="0"/>
    </xf>
    <xf numFmtId="166" fontId="0" fillId="6" borderId="125" xfId="0" applyNumberFormat="1" applyFill="1" applyBorder="1" applyProtection="1">
      <protection locked="0"/>
    </xf>
    <xf numFmtId="164" fontId="0" fillId="3" borderId="63" xfId="1" applyNumberFormat="1" applyFont="1" applyFill="1" applyBorder="1" applyProtection="1">
      <protection locked="0"/>
    </xf>
    <xf numFmtId="164" fontId="0" fillId="3" borderId="28" xfId="1" applyNumberFormat="1" applyFont="1" applyFill="1" applyBorder="1" applyProtection="1">
      <protection locked="0"/>
    </xf>
    <xf numFmtId="2" fontId="4" fillId="7" borderId="13" xfId="0" applyNumberFormat="1" applyFont="1" applyFill="1" applyBorder="1"/>
    <xf numFmtId="1" fontId="16" fillId="4" borderId="35" xfId="0" applyNumberFormat="1" applyFont="1" applyFill="1" applyBorder="1" applyAlignment="1">
      <alignment horizontal="center" wrapText="1"/>
    </xf>
    <xf numFmtId="1" fontId="0" fillId="3" borderId="114" xfId="0" applyNumberFormat="1" applyFill="1" applyBorder="1" applyProtection="1">
      <protection locked="0"/>
    </xf>
    <xf numFmtId="1" fontId="0" fillId="3" borderId="37" xfId="0" applyNumberFormat="1" applyFill="1" applyBorder="1" applyProtection="1">
      <protection locked="0"/>
    </xf>
    <xf numFmtId="164" fontId="0" fillId="3" borderId="93" xfId="1" applyNumberFormat="1" applyFont="1" applyFill="1" applyBorder="1" applyProtection="1">
      <protection locked="0"/>
    </xf>
    <xf numFmtId="2" fontId="0" fillId="3" borderId="78" xfId="1" applyNumberFormat="1" applyFont="1" applyFill="1" applyBorder="1" applyProtection="1">
      <protection locked="0"/>
    </xf>
    <xf numFmtId="164" fontId="0" fillId="3" borderId="96" xfId="1" applyNumberFormat="1" applyFont="1" applyFill="1" applyBorder="1" applyProtection="1">
      <protection locked="0"/>
    </xf>
    <xf numFmtId="164" fontId="0" fillId="3" borderId="23" xfId="1" applyNumberFormat="1" applyFont="1" applyFill="1" applyBorder="1" applyProtection="1">
      <protection locked="0"/>
    </xf>
    <xf numFmtId="164" fontId="0" fillId="3" borderId="80" xfId="1" applyNumberFormat="1" applyFont="1" applyFill="1" applyBorder="1" applyProtection="1">
      <protection locked="0"/>
    </xf>
    <xf numFmtId="2" fontId="0" fillId="3" borderId="30" xfId="1" applyNumberFormat="1" applyFont="1" applyFill="1" applyBorder="1" applyProtection="1">
      <protection locked="0"/>
    </xf>
    <xf numFmtId="9" fontId="0" fillId="3" borderId="75" xfId="2" applyFont="1" applyFill="1" applyBorder="1" applyProtection="1">
      <protection locked="0"/>
    </xf>
    <xf numFmtId="9" fontId="0" fillId="3" borderId="80" xfId="2" applyFont="1" applyFill="1" applyBorder="1" applyProtection="1">
      <protection locked="0"/>
    </xf>
    <xf numFmtId="0" fontId="11" fillId="4" borderId="58" xfId="0" applyFont="1" applyFill="1" applyBorder="1" applyAlignment="1">
      <alignment horizontal="center" textRotation="90" wrapText="1"/>
    </xf>
    <xf numFmtId="166" fontId="11" fillId="4" borderId="58" xfId="0" applyNumberFormat="1" applyFont="1" applyFill="1" applyBorder="1" applyAlignment="1">
      <alignment horizontal="center" textRotation="90" wrapText="1"/>
    </xf>
    <xf numFmtId="2" fontId="11" fillId="4" borderId="13" xfId="0" applyNumberFormat="1" applyFont="1" applyFill="1" applyBorder="1" applyAlignment="1">
      <alignment horizontal="center" vertical="center" wrapText="1"/>
    </xf>
    <xf numFmtId="0" fontId="11" fillId="4" borderId="87" xfId="0" applyFont="1" applyFill="1" applyBorder="1" applyAlignment="1">
      <alignment horizontal="center" textRotation="90" wrapText="1"/>
    </xf>
    <xf numFmtId="1" fontId="0" fillId="0" borderId="63" xfId="0" applyNumberFormat="1" applyBorder="1" applyProtection="1">
      <protection locked="0"/>
    </xf>
    <xf numFmtId="1" fontId="0" fillId="0" borderId="28" xfId="0" applyNumberFormat="1" applyBorder="1" applyProtection="1">
      <protection locked="0"/>
    </xf>
    <xf numFmtId="1" fontId="0" fillId="0" borderId="30" xfId="0" applyNumberFormat="1" applyBorder="1" applyProtection="1">
      <protection locked="0"/>
    </xf>
    <xf numFmtId="166" fontId="0" fillId="6" borderId="75" xfId="0" applyNumberFormat="1" applyFill="1" applyBorder="1" applyProtection="1">
      <protection locked="0"/>
    </xf>
    <xf numFmtId="166" fontId="0" fillId="6" borderId="80" xfId="0" applyNumberFormat="1" applyFill="1" applyBorder="1" applyProtection="1">
      <protection locked="0"/>
    </xf>
    <xf numFmtId="0" fontId="11" fillId="7" borderId="21" xfId="0" applyFont="1" applyFill="1" applyBorder="1"/>
    <xf numFmtId="9" fontId="11" fillId="7" borderId="21" xfId="2" applyFont="1" applyFill="1" applyBorder="1"/>
    <xf numFmtId="165" fontId="11" fillId="7" borderId="21" xfId="4" applyNumberFormat="1" applyFont="1" applyFill="1" applyBorder="1"/>
    <xf numFmtId="9" fontId="11" fillId="7" borderId="21" xfId="0" applyNumberFormat="1" applyFont="1" applyFill="1" applyBorder="1"/>
    <xf numFmtId="0" fontId="11" fillId="4" borderId="21" xfId="0" applyFont="1" applyFill="1" applyBorder="1" applyAlignment="1">
      <alignment horizontal="center" textRotation="90" wrapText="1"/>
    </xf>
    <xf numFmtId="0" fontId="11" fillId="4" borderId="14" xfId="0" applyFont="1" applyFill="1" applyBorder="1" applyAlignment="1">
      <alignment horizontal="center" textRotation="90" wrapText="1"/>
    </xf>
    <xf numFmtId="0" fontId="11" fillId="4" borderId="13" xfId="0" applyFont="1" applyFill="1" applyBorder="1" applyAlignment="1">
      <alignment horizontal="center" textRotation="90" wrapText="1"/>
    </xf>
    <xf numFmtId="165" fontId="11" fillId="4" borderId="13" xfId="4" applyNumberFormat="1" applyFont="1" applyFill="1" applyBorder="1" applyAlignment="1">
      <alignment horizontal="center" textRotation="90" wrapText="1"/>
    </xf>
    <xf numFmtId="165" fontId="11" fillId="4" borderId="15" xfId="4" applyNumberFormat="1" applyFont="1" applyFill="1" applyBorder="1" applyAlignment="1">
      <alignment horizontal="center" textRotation="90" wrapText="1"/>
    </xf>
    <xf numFmtId="44" fontId="11" fillId="7" borderId="21" xfId="4" applyFont="1" applyFill="1" applyBorder="1"/>
    <xf numFmtId="165" fontId="11" fillId="7" borderId="21" xfId="0" applyNumberFormat="1" applyFont="1" applyFill="1" applyBorder="1"/>
    <xf numFmtId="0" fontId="11" fillId="4" borderId="13" xfId="0" applyFont="1" applyFill="1" applyBorder="1" applyAlignment="1">
      <alignment horizontal="center" wrapText="1"/>
    </xf>
    <xf numFmtId="0" fontId="90" fillId="4" borderId="13" xfId="0" applyFont="1" applyFill="1" applyBorder="1" applyAlignment="1">
      <alignment horizontal="center" wrapText="1"/>
    </xf>
    <xf numFmtId="0" fontId="4" fillId="5" borderId="14" xfId="0" applyFont="1" applyFill="1" applyBorder="1" applyAlignment="1">
      <alignment horizontal="center" textRotation="90"/>
    </xf>
    <xf numFmtId="0" fontId="4" fillId="5" borderId="13" xfId="0" applyFont="1" applyFill="1" applyBorder="1" applyAlignment="1">
      <alignment horizontal="center" textRotation="90" wrapText="1"/>
    </xf>
    <xf numFmtId="0" fontId="11" fillId="4" borderId="15" xfId="0" applyFont="1" applyFill="1" applyBorder="1" applyAlignment="1">
      <alignment horizontal="center" textRotation="90" wrapText="1"/>
    </xf>
    <xf numFmtId="0" fontId="11" fillId="4" borderId="39" xfId="0" applyFont="1" applyFill="1" applyBorder="1" applyAlignment="1">
      <alignment horizontal="center" textRotation="90" wrapText="1"/>
    </xf>
    <xf numFmtId="165" fontId="11" fillId="4" borderId="21" xfId="4" applyNumberFormat="1" applyFont="1" applyFill="1" applyBorder="1" applyAlignment="1">
      <alignment horizontal="center" textRotation="90" wrapText="1"/>
    </xf>
    <xf numFmtId="44" fontId="11" fillId="4" borderId="14" xfId="4" applyFont="1" applyFill="1" applyBorder="1" applyAlignment="1">
      <alignment horizontal="center" textRotation="90" wrapText="1"/>
    </xf>
    <xf numFmtId="44" fontId="11" fillId="4" borderId="13" xfId="4" applyFont="1" applyFill="1" applyBorder="1" applyAlignment="1">
      <alignment horizontal="center" textRotation="90" wrapText="1"/>
    </xf>
    <xf numFmtId="165" fontId="11" fillId="4" borderId="13" xfId="0" applyNumberFormat="1" applyFont="1" applyFill="1" applyBorder="1" applyAlignment="1">
      <alignment horizontal="center" textRotation="90" wrapText="1"/>
    </xf>
    <xf numFmtId="0" fontId="11" fillId="4" borderId="13" xfId="0" applyFont="1" applyFill="1" applyBorder="1" applyAlignment="1">
      <alignment horizontal="center"/>
    </xf>
    <xf numFmtId="0" fontId="11" fillId="4" borderId="14" xfId="0" applyFont="1" applyFill="1" applyBorder="1" applyAlignment="1">
      <alignment horizontal="center" wrapText="1"/>
    </xf>
    <xf numFmtId="0" fontId="11" fillId="4" borderId="43" xfId="0" applyFont="1" applyFill="1" applyBorder="1" applyAlignment="1">
      <alignment horizontal="center"/>
    </xf>
    <xf numFmtId="0" fontId="11" fillId="4" borderId="119" xfId="0" applyFont="1" applyFill="1" applyBorder="1" applyAlignment="1">
      <alignment horizontal="center"/>
    </xf>
    <xf numFmtId="0" fontId="11" fillId="4" borderId="44" xfId="0" applyFont="1" applyFill="1" applyBorder="1" applyAlignment="1">
      <alignment horizontal="center"/>
    </xf>
    <xf numFmtId="0" fontId="90" fillId="4" borderId="14" xfId="0" applyFont="1" applyFill="1" applyBorder="1" applyAlignment="1">
      <alignment horizontal="center" wrapText="1"/>
    </xf>
    <xf numFmtId="0" fontId="90" fillId="4" borderId="42" xfId="0" applyFont="1" applyFill="1" applyBorder="1" applyAlignment="1">
      <alignment horizontal="center" vertical="center"/>
    </xf>
    <xf numFmtId="0" fontId="90" fillId="4" borderId="43" xfId="0" applyFont="1" applyFill="1" applyBorder="1" applyAlignment="1">
      <alignment horizontal="center" vertical="center"/>
    </xf>
    <xf numFmtId="0" fontId="90" fillId="4" borderId="44" xfId="0" applyFont="1" applyFill="1" applyBorder="1" applyAlignment="1">
      <alignment horizontal="center" vertical="center"/>
    </xf>
    <xf numFmtId="0" fontId="11" fillId="4" borderId="21" xfId="0" applyFont="1" applyFill="1" applyBorder="1" applyAlignment="1">
      <alignment horizontal="center"/>
    </xf>
    <xf numFmtId="0" fontId="11" fillId="4" borderId="15" xfId="0" applyFont="1" applyFill="1" applyBorder="1" applyAlignment="1">
      <alignment horizontal="center"/>
    </xf>
    <xf numFmtId="0" fontId="11" fillId="9" borderId="0" xfId="0" applyFont="1" applyFill="1"/>
    <xf numFmtId="0" fontId="90" fillId="9" borderId="0" xfId="0" applyFont="1" applyFill="1"/>
    <xf numFmtId="0" fontId="90" fillId="4" borderId="14" xfId="0" applyFont="1" applyFill="1" applyBorder="1" applyAlignment="1">
      <alignment horizontal="center"/>
    </xf>
    <xf numFmtId="0" fontId="90" fillId="4" borderId="13" xfId="0" applyFont="1" applyFill="1" applyBorder="1" applyAlignment="1">
      <alignment horizontal="center"/>
    </xf>
    <xf numFmtId="44" fontId="11" fillId="4" borderId="86" xfId="4" applyFont="1" applyFill="1" applyBorder="1" applyAlignment="1">
      <alignment horizontal="center" textRotation="90" wrapText="1"/>
    </xf>
    <xf numFmtId="0" fontId="11" fillId="4" borderId="20" xfId="0" applyFont="1" applyFill="1" applyBorder="1" applyAlignment="1">
      <alignment horizontal="center" textRotation="90" wrapText="1"/>
    </xf>
    <xf numFmtId="0" fontId="11" fillId="4" borderId="82" xfId="0" applyFont="1" applyFill="1" applyBorder="1" applyAlignment="1">
      <alignment horizontal="center" textRotation="90" wrapText="1"/>
    </xf>
    <xf numFmtId="164" fontId="11" fillId="4" borderId="58" xfId="1" applyNumberFormat="1" applyFont="1" applyFill="1" applyBorder="1" applyAlignment="1">
      <alignment horizontal="center" textRotation="90" wrapText="1"/>
    </xf>
    <xf numFmtId="0" fontId="11" fillId="4" borderId="86" xfId="0" applyFont="1" applyFill="1" applyBorder="1" applyAlignment="1">
      <alignment horizontal="center" textRotation="90" wrapText="1"/>
    </xf>
    <xf numFmtId="164" fontId="11" fillId="4" borderId="88" xfId="1" applyNumberFormat="1" applyFont="1" applyFill="1" applyBorder="1" applyAlignment="1">
      <alignment horizontal="center" textRotation="90" wrapText="1"/>
    </xf>
    <xf numFmtId="43" fontId="11" fillId="4" borderId="87" xfId="1" applyFont="1" applyFill="1" applyBorder="1" applyAlignment="1" applyProtection="1">
      <alignment horizontal="center" textRotation="90" wrapText="1"/>
    </xf>
    <xf numFmtId="164" fontId="11" fillId="4" borderId="95" xfId="1" applyNumberFormat="1" applyFont="1" applyFill="1" applyBorder="1" applyAlignment="1" applyProtection="1">
      <alignment horizontal="center" textRotation="90" wrapText="1"/>
    </xf>
    <xf numFmtId="0" fontId="11" fillId="4" borderId="95" xfId="0" applyFont="1" applyFill="1" applyBorder="1" applyAlignment="1">
      <alignment horizontal="center" textRotation="90" wrapText="1"/>
    </xf>
    <xf numFmtId="1" fontId="11" fillId="4" borderId="58" xfId="0" applyNumberFormat="1" applyFont="1" applyFill="1" applyBorder="1" applyAlignment="1">
      <alignment horizontal="center" textRotation="90" wrapText="1"/>
    </xf>
    <xf numFmtId="43" fontId="11" fillId="4" borderId="58" xfId="1" applyFont="1" applyFill="1" applyBorder="1" applyAlignment="1">
      <alignment horizontal="center" textRotation="90" wrapText="1"/>
    </xf>
    <xf numFmtId="2" fontId="11" fillId="4" borderId="95" xfId="1" applyNumberFormat="1" applyFont="1" applyFill="1" applyBorder="1" applyAlignment="1" applyProtection="1">
      <alignment horizontal="center" textRotation="90" wrapText="1"/>
    </xf>
    <xf numFmtId="3" fontId="0" fillId="9" borderId="0" xfId="0" applyNumberFormat="1" applyFill="1"/>
    <xf numFmtId="165" fontId="0" fillId="0" borderId="78" xfId="4" applyNumberFormat="1" applyFont="1" applyFill="1" applyBorder="1" applyProtection="1">
      <protection locked="0"/>
    </xf>
    <xf numFmtId="167" fontId="0" fillId="0" borderId="78" xfId="4" applyNumberFormat="1" applyFont="1" applyFill="1" applyBorder="1" applyProtection="1">
      <protection locked="0"/>
    </xf>
    <xf numFmtId="10" fontId="0" fillId="0" borderId="75" xfId="2" applyNumberFormat="1" applyFont="1" applyFill="1" applyBorder="1" applyProtection="1">
      <protection locked="0"/>
    </xf>
    <xf numFmtId="9" fontId="0" fillId="0" borderId="37" xfId="4" applyNumberFormat="1" applyFont="1" applyFill="1" applyBorder="1" applyProtection="1">
      <protection locked="0"/>
    </xf>
    <xf numFmtId="165" fontId="0" fillId="0" borderId="37" xfId="4" applyNumberFormat="1" applyFont="1" applyFill="1" applyBorder="1" applyProtection="1">
      <protection locked="0"/>
    </xf>
    <xf numFmtId="165" fontId="0" fillId="0" borderId="75" xfId="0" applyNumberFormat="1" applyBorder="1" applyProtection="1">
      <protection locked="0"/>
    </xf>
    <xf numFmtId="165" fontId="0" fillId="0" borderId="29" xfId="0" applyNumberFormat="1" applyBorder="1" applyProtection="1">
      <protection locked="0"/>
    </xf>
    <xf numFmtId="9" fontId="0" fillId="0" borderId="8" xfId="4" applyNumberFormat="1" applyFont="1" applyFill="1" applyBorder="1" applyProtection="1">
      <protection locked="0"/>
    </xf>
    <xf numFmtId="165" fontId="0" fillId="0" borderId="40" xfId="4" applyNumberFormat="1" applyFont="1" applyFill="1" applyBorder="1" applyProtection="1">
      <protection locked="0"/>
    </xf>
    <xf numFmtId="165" fontId="0" fillId="0" borderId="34" xfId="4" applyNumberFormat="1" applyFont="1" applyFill="1" applyBorder="1" applyProtection="1">
      <protection locked="0"/>
    </xf>
    <xf numFmtId="0" fontId="0" fillId="0" borderId="88" xfId="0" applyBorder="1"/>
    <xf numFmtId="165" fontId="0" fillId="0" borderId="87" xfId="4" applyNumberFormat="1" applyFont="1" applyFill="1" applyBorder="1" applyProtection="1">
      <protection locked="0"/>
    </xf>
    <xf numFmtId="167" fontId="0" fillId="0" borderId="87" xfId="4" applyNumberFormat="1" applyFont="1" applyFill="1" applyBorder="1" applyProtection="1">
      <protection locked="0"/>
    </xf>
    <xf numFmtId="10" fontId="0" fillId="0" borderId="80" xfId="2" applyNumberFormat="1" applyFont="1" applyFill="1" applyBorder="1" applyProtection="1">
      <protection locked="0"/>
    </xf>
    <xf numFmtId="9" fontId="0" fillId="0" borderId="95" xfId="4" applyNumberFormat="1" applyFont="1" applyFill="1" applyBorder="1" applyProtection="1">
      <protection locked="0"/>
    </xf>
    <xf numFmtId="165" fontId="0" fillId="0" borderId="76" xfId="4" applyNumberFormat="1" applyFont="1" applyFill="1" applyBorder="1" applyProtection="1">
      <protection locked="0"/>
    </xf>
    <xf numFmtId="165" fontId="0" fillId="0" borderId="80" xfId="0" applyNumberFormat="1" applyBorder="1" applyProtection="1">
      <protection locked="0"/>
    </xf>
    <xf numFmtId="165" fontId="0" fillId="0" borderId="31" xfId="0" applyNumberFormat="1" applyBorder="1" applyProtection="1">
      <protection locked="0"/>
    </xf>
    <xf numFmtId="166" fontId="0" fillId="0" borderId="75" xfId="0" applyNumberFormat="1" applyBorder="1" applyProtection="1">
      <protection locked="0"/>
    </xf>
    <xf numFmtId="0" fontId="11" fillId="4" borderId="62" xfId="0" applyFont="1" applyFill="1" applyBorder="1" applyAlignment="1">
      <alignment horizontal="center" textRotation="90" wrapText="1"/>
    </xf>
    <xf numFmtId="0" fontId="16" fillId="4" borderId="15" xfId="0" applyFont="1" applyFill="1" applyBorder="1" applyAlignment="1">
      <alignment horizontal="center" wrapText="1"/>
    </xf>
    <xf numFmtId="0" fontId="0" fillId="0" borderId="89" xfId="0" applyBorder="1" applyProtection="1">
      <protection locked="0"/>
    </xf>
    <xf numFmtId="0" fontId="0" fillId="0" borderId="89" xfId="0" applyBorder="1" applyAlignment="1" applyProtection="1">
      <alignment horizontal="left"/>
      <protection locked="0"/>
    </xf>
    <xf numFmtId="0" fontId="0" fillId="0" borderId="73" xfId="0" applyBorder="1" applyAlignment="1" applyProtection="1">
      <alignment horizontal="left"/>
      <protection locked="0"/>
    </xf>
    <xf numFmtId="2" fontId="11" fillId="4" borderId="61" xfId="0" applyNumberFormat="1" applyFont="1" applyFill="1" applyBorder="1" applyAlignment="1">
      <alignment horizontal="center" vertical="center"/>
    </xf>
    <xf numFmtId="0" fontId="0" fillId="0" borderId="93" xfId="0" applyBorder="1" applyProtection="1">
      <protection locked="0"/>
    </xf>
    <xf numFmtId="2" fontId="11" fillId="4" borderId="14" xfId="0" applyNumberFormat="1" applyFont="1" applyFill="1" applyBorder="1" applyAlignment="1">
      <alignment horizontal="center" vertical="center" wrapText="1"/>
    </xf>
    <xf numFmtId="2" fontId="16" fillId="4" borderId="14" xfId="0" applyNumberFormat="1" applyFont="1" applyFill="1" applyBorder="1" applyAlignment="1">
      <alignment horizontal="center" wrapText="1"/>
    </xf>
    <xf numFmtId="166" fontId="0" fillId="6" borderId="128" xfId="0" applyNumberFormat="1" applyFill="1" applyBorder="1" applyProtection="1">
      <protection locked="0"/>
    </xf>
    <xf numFmtId="166" fontId="0" fillId="6" borderId="91" xfId="0" applyNumberFormat="1" applyFill="1" applyBorder="1" applyProtection="1">
      <protection locked="0"/>
    </xf>
    <xf numFmtId="0" fontId="11" fillId="4" borderId="25" xfId="0" applyFont="1" applyFill="1" applyBorder="1" applyAlignment="1">
      <alignment horizontal="center"/>
    </xf>
    <xf numFmtId="0" fontId="0" fillId="0" borderId="96" xfId="0" applyBorder="1" applyProtection="1">
      <protection locked="0"/>
    </xf>
    <xf numFmtId="0" fontId="0" fillId="0" borderId="129" xfId="0" applyBorder="1" applyProtection="1">
      <protection locked="0"/>
    </xf>
    <xf numFmtId="0" fontId="0" fillId="0" borderId="125" xfId="0" applyBorder="1" applyProtection="1">
      <protection locked="0"/>
    </xf>
    <xf numFmtId="164" fontId="0" fillId="0" borderId="129" xfId="1" applyNumberFormat="1" applyFont="1" applyBorder="1" applyProtection="1">
      <protection locked="0"/>
    </xf>
    <xf numFmtId="166" fontId="0" fillId="3" borderId="48" xfId="0" applyNumberFormat="1" applyFill="1" applyBorder="1" applyProtection="1">
      <protection locked="0"/>
    </xf>
    <xf numFmtId="165" fontId="0" fillId="0" borderId="125" xfId="4" applyNumberFormat="1" applyFont="1" applyFill="1" applyBorder="1" applyProtection="1">
      <protection locked="0"/>
    </xf>
    <xf numFmtId="165" fontId="0" fillId="0" borderId="129" xfId="4" applyNumberFormat="1" applyFont="1" applyBorder="1" applyProtection="1">
      <protection locked="0"/>
    </xf>
    <xf numFmtId="164" fontId="0" fillId="0" borderId="129" xfId="1" applyNumberFormat="1" applyFont="1" applyFill="1" applyBorder="1" applyProtection="1">
      <protection locked="0"/>
    </xf>
    <xf numFmtId="164" fontId="0" fillId="3" borderId="129" xfId="1" applyNumberFormat="1" applyFont="1" applyFill="1" applyBorder="1" applyProtection="1">
      <protection locked="0"/>
    </xf>
    <xf numFmtId="165" fontId="0" fillId="0" borderId="130" xfId="4" applyNumberFormat="1" applyFont="1" applyFill="1" applyBorder="1" applyProtection="1">
      <protection locked="0"/>
    </xf>
    <xf numFmtId="1" fontId="0" fillId="3" borderId="111" xfId="0" applyNumberFormat="1" applyFill="1" applyBorder="1" applyProtection="1">
      <protection locked="0"/>
    </xf>
    <xf numFmtId="166" fontId="0" fillId="6" borderId="131" xfId="0" applyNumberFormat="1" applyFill="1" applyBorder="1" applyProtection="1">
      <protection locked="0"/>
    </xf>
    <xf numFmtId="165" fontId="0" fillId="6" borderId="23" xfId="4" applyNumberFormat="1" applyFont="1" applyFill="1" applyBorder="1" applyProtection="1">
      <protection locked="0"/>
    </xf>
    <xf numFmtId="165" fontId="0" fillId="6" borderId="125" xfId="4" applyNumberFormat="1" applyFont="1" applyFill="1" applyBorder="1" applyProtection="1">
      <protection locked="0"/>
    </xf>
    <xf numFmtId="165" fontId="0" fillId="6" borderId="20" xfId="4" applyNumberFormat="1" applyFont="1" applyFill="1" applyBorder="1" applyProtection="1">
      <protection locked="0"/>
    </xf>
    <xf numFmtId="166" fontId="90" fillId="6" borderId="20" xfId="0" applyNumberFormat="1" applyFont="1" applyFill="1" applyBorder="1" applyProtection="1">
      <protection locked="0"/>
    </xf>
    <xf numFmtId="0" fontId="9" fillId="9" borderId="0" xfId="3" applyFill="1" applyAlignment="1" applyProtection="1">
      <alignment vertical="center"/>
      <protection locked="0"/>
    </xf>
    <xf numFmtId="0" fontId="96" fillId="9" borderId="0" xfId="3" applyFont="1" applyFill="1" applyBorder="1" applyProtection="1">
      <protection locked="0"/>
    </xf>
    <xf numFmtId="0" fontId="96" fillId="9" borderId="0" xfId="3" applyFont="1" applyFill="1" applyBorder="1" applyAlignment="1" applyProtection="1">
      <alignment vertical="center"/>
      <protection locked="0"/>
    </xf>
    <xf numFmtId="0" fontId="0" fillId="9" borderId="65" xfId="0" applyFill="1" applyBorder="1" applyAlignment="1">
      <alignment vertical="center"/>
    </xf>
    <xf numFmtId="0" fontId="95" fillId="4" borderId="13" xfId="0" applyFont="1" applyFill="1" applyBorder="1" applyAlignment="1">
      <alignment horizontal="center" vertical="center" wrapText="1"/>
    </xf>
    <xf numFmtId="0" fontId="95" fillId="4" borderId="21" xfId="0" applyFont="1" applyFill="1" applyBorder="1" applyAlignment="1">
      <alignment horizontal="center" vertical="center" wrapText="1"/>
    </xf>
    <xf numFmtId="0" fontId="90" fillId="4" borderId="13" xfId="0" applyFont="1" applyFill="1" applyBorder="1" applyAlignment="1">
      <alignment horizontal="center" vertical="center" textRotation="90"/>
    </xf>
    <xf numFmtId="0" fontId="90" fillId="4" borderId="15" xfId="0" applyFont="1" applyFill="1" applyBorder="1" applyAlignment="1">
      <alignment horizontal="center" vertical="center" textRotation="90"/>
    </xf>
    <xf numFmtId="0" fontId="90" fillId="4" borderId="21" xfId="0" applyFont="1" applyFill="1" applyBorder="1" applyAlignment="1">
      <alignment horizontal="center" vertical="center" textRotation="90"/>
    </xf>
    <xf numFmtId="0" fontId="90" fillId="4" borderId="61" xfId="0" applyFont="1" applyFill="1" applyBorder="1" applyAlignment="1">
      <alignment horizontal="center" vertical="center" textRotation="90"/>
    </xf>
    <xf numFmtId="0" fontId="90" fillId="4" borderId="84" xfId="0" applyFont="1" applyFill="1" applyBorder="1" applyAlignment="1">
      <alignment horizontal="center" vertical="center" textRotation="90"/>
    </xf>
    <xf numFmtId="0" fontId="90" fillId="4" borderId="25" xfId="0" applyFont="1" applyFill="1" applyBorder="1" applyAlignment="1">
      <alignment horizontal="center" vertical="center" textRotation="90"/>
    </xf>
    <xf numFmtId="0" fontId="95" fillId="4" borderId="61" xfId="0" applyFont="1" applyFill="1" applyBorder="1" applyAlignment="1">
      <alignment horizontal="center" vertical="center" wrapText="1"/>
    </xf>
    <xf numFmtId="165" fontId="90" fillId="4" borderId="21" xfId="4" applyNumberFormat="1" applyFont="1" applyFill="1" applyBorder="1" applyAlignment="1">
      <alignment horizontal="center" vertical="center" textRotation="90"/>
    </xf>
    <xf numFmtId="165" fontId="90" fillId="4" borderId="15" xfId="4" applyNumberFormat="1" applyFont="1" applyFill="1" applyBorder="1" applyAlignment="1">
      <alignment horizontal="center" vertical="center" textRotation="90"/>
    </xf>
    <xf numFmtId="44" fontId="90" fillId="4" borderId="13" xfId="4" applyFont="1" applyFill="1" applyBorder="1" applyAlignment="1">
      <alignment horizontal="center" vertical="center" textRotation="90"/>
    </xf>
    <xf numFmtId="10" fontId="90" fillId="4" borderId="13" xfId="4" applyNumberFormat="1" applyFont="1" applyFill="1" applyBorder="1" applyAlignment="1">
      <alignment horizontal="center" vertical="center" wrapText="1"/>
    </xf>
    <xf numFmtId="44" fontId="90" fillId="4" borderId="13" xfId="4" applyFont="1" applyFill="1" applyBorder="1" applyAlignment="1">
      <alignment horizontal="center" vertical="center" wrapText="1"/>
    </xf>
    <xf numFmtId="165" fontId="90" fillId="4" borderId="13" xfId="4" applyNumberFormat="1" applyFont="1" applyFill="1" applyBorder="1" applyAlignment="1">
      <alignment horizontal="center" vertical="center" textRotation="90"/>
    </xf>
    <xf numFmtId="165" fontId="90" fillId="4" borderId="21" xfId="0" applyNumberFormat="1" applyFont="1" applyFill="1" applyBorder="1" applyAlignment="1">
      <alignment horizontal="center" vertical="center" wrapText="1"/>
    </xf>
    <xf numFmtId="0" fontId="90" fillId="4" borderId="13" xfId="0" applyFont="1" applyFill="1" applyBorder="1" applyAlignment="1">
      <alignment horizontal="center" vertical="center" wrapText="1"/>
    </xf>
    <xf numFmtId="165" fontId="90" fillId="4" borderId="15" xfId="0" applyNumberFormat="1" applyFont="1" applyFill="1" applyBorder="1" applyAlignment="1">
      <alignment horizontal="center" vertical="center" wrapText="1"/>
    </xf>
    <xf numFmtId="0" fontId="11" fillId="5" borderId="58" xfId="0" applyFont="1" applyFill="1" applyBorder="1" applyAlignment="1">
      <alignment horizontal="center" vertical="center" textRotation="90" wrapText="1"/>
    </xf>
    <xf numFmtId="165" fontId="11" fillId="5" borderId="13" xfId="0" applyNumberFormat="1" applyFont="1" applyFill="1" applyBorder="1" applyAlignment="1">
      <alignment horizontal="center" vertical="center" textRotation="90" wrapText="1"/>
    </xf>
    <xf numFmtId="0" fontId="0" fillId="9" borderId="0" xfId="0" applyFill="1" applyAlignment="1">
      <alignment vertical="center"/>
    </xf>
    <xf numFmtId="165" fontId="11" fillId="4" borderId="95" xfId="4" applyNumberFormat="1" applyFont="1" applyFill="1" applyBorder="1" applyAlignment="1">
      <alignment horizontal="center" textRotation="90" wrapText="1"/>
    </xf>
    <xf numFmtId="165" fontId="11" fillId="4" borderId="20" xfId="4" applyNumberFormat="1" applyFont="1" applyFill="1" applyBorder="1" applyAlignment="1">
      <alignment horizontal="center" textRotation="90" wrapText="1"/>
    </xf>
    <xf numFmtId="165" fontId="11" fillId="4" borderId="62" xfId="4" applyNumberFormat="1" applyFont="1" applyFill="1" applyBorder="1" applyAlignment="1">
      <alignment horizontal="center" textRotation="90" wrapText="1"/>
    </xf>
    <xf numFmtId="165" fontId="11" fillId="4" borderId="88" xfId="4" applyNumberFormat="1" applyFont="1" applyFill="1" applyBorder="1" applyAlignment="1">
      <alignment horizontal="center" textRotation="90" wrapText="1"/>
    </xf>
    <xf numFmtId="0" fontId="11" fillId="4" borderId="88" xfId="0" applyFont="1" applyFill="1" applyBorder="1" applyAlignment="1">
      <alignment horizontal="center" textRotation="90" wrapText="1"/>
    </xf>
    <xf numFmtId="9" fontId="11" fillId="4" borderId="58" xfId="0" applyNumberFormat="1" applyFont="1" applyFill="1" applyBorder="1" applyAlignment="1">
      <alignment horizontal="center" textRotation="90" wrapText="1"/>
    </xf>
    <xf numFmtId="165" fontId="0" fillId="9" borderId="14" xfId="4" applyNumberFormat="1" applyFont="1" applyFill="1" applyBorder="1" applyProtection="1">
      <protection locked="0"/>
    </xf>
    <xf numFmtId="165" fontId="0" fillId="9" borderId="13" xfId="4" applyNumberFormat="1" applyFont="1" applyFill="1" applyBorder="1" applyProtection="1">
      <protection locked="0"/>
    </xf>
    <xf numFmtId="0" fontId="94" fillId="4" borderId="13" xfId="0" applyFont="1" applyFill="1" applyBorder="1" applyAlignment="1">
      <alignment horizontal="center" vertical="center" wrapText="1"/>
    </xf>
    <xf numFmtId="9" fontId="94" fillId="4" borderId="13" xfId="0" applyNumberFormat="1" applyFont="1" applyFill="1" applyBorder="1" applyAlignment="1">
      <alignment horizontal="center" vertical="center" wrapText="1"/>
    </xf>
    <xf numFmtId="0" fontId="16" fillId="9" borderId="0" xfId="0" applyFont="1" applyFill="1" applyAlignment="1">
      <alignment vertical="center"/>
    </xf>
    <xf numFmtId="0" fontId="94" fillId="4" borderId="13" xfId="0" applyFont="1" applyFill="1" applyBorder="1" applyAlignment="1">
      <alignment horizontal="center" vertical="center" textRotation="90"/>
    </xf>
    <xf numFmtId="0" fontId="94" fillId="4" borderId="15" xfId="0" applyFont="1" applyFill="1" applyBorder="1" applyAlignment="1">
      <alignment horizontal="center" vertical="center" textRotation="90"/>
    </xf>
    <xf numFmtId="0" fontId="94" fillId="4" borderId="21" xfId="0" applyFont="1" applyFill="1" applyBorder="1" applyAlignment="1">
      <alignment horizontal="center" vertical="center" textRotation="90"/>
    </xf>
    <xf numFmtId="0" fontId="94" fillId="4" borderId="14" xfId="0" applyFont="1" applyFill="1" applyBorder="1" applyAlignment="1">
      <alignment horizontal="center" vertical="center" textRotation="90"/>
    </xf>
    <xf numFmtId="9" fontId="94" fillId="4" borderId="21" xfId="2" applyFont="1" applyFill="1" applyBorder="1" applyAlignment="1">
      <alignment horizontal="center" vertical="center" textRotation="90"/>
    </xf>
    <xf numFmtId="165" fontId="94" fillId="4" borderId="21" xfId="4" applyNumberFormat="1" applyFont="1" applyFill="1" applyBorder="1" applyAlignment="1">
      <alignment horizontal="center" vertical="center" textRotation="90"/>
    </xf>
    <xf numFmtId="0" fontId="94" fillId="4" borderId="64" xfId="0" applyFont="1" applyFill="1" applyBorder="1" applyAlignment="1">
      <alignment horizontal="center" vertical="center" textRotation="90"/>
    </xf>
    <xf numFmtId="165" fontId="94" fillId="4" borderId="13" xfId="4" applyNumberFormat="1" applyFont="1" applyFill="1" applyBorder="1" applyAlignment="1">
      <alignment horizontal="center" vertical="center" textRotation="90"/>
    </xf>
    <xf numFmtId="44" fontId="94" fillId="4" borderId="13" xfId="4" applyFont="1" applyFill="1" applyBorder="1" applyAlignment="1">
      <alignment horizontal="center" vertical="center" wrapText="1"/>
    </xf>
    <xf numFmtId="10" fontId="94" fillId="4" borderId="13" xfId="4" applyNumberFormat="1" applyFont="1" applyFill="1" applyBorder="1" applyAlignment="1">
      <alignment horizontal="center" vertical="center" wrapText="1"/>
    </xf>
    <xf numFmtId="44" fontId="94" fillId="4" borderId="15" xfId="4" applyFont="1" applyFill="1" applyBorder="1" applyAlignment="1">
      <alignment horizontal="center" vertical="center" wrapText="1"/>
    </xf>
    <xf numFmtId="0" fontId="94" fillId="4" borderId="15" xfId="0" applyFont="1" applyFill="1" applyBorder="1" applyAlignment="1">
      <alignment horizontal="center" vertical="center" wrapText="1"/>
    </xf>
    <xf numFmtId="0" fontId="97" fillId="5" borderId="86" xfId="0" applyFont="1" applyFill="1" applyBorder="1" applyAlignment="1">
      <alignment horizontal="center" vertical="center" textRotation="90" wrapText="1"/>
    </xf>
    <xf numFmtId="0" fontId="16" fillId="9" borderId="60" xfId="0" applyFont="1" applyFill="1" applyBorder="1" applyAlignment="1">
      <alignment vertical="center"/>
    </xf>
    <xf numFmtId="0" fontId="97" fillId="5" borderId="62" xfId="0" applyFont="1" applyFill="1" applyBorder="1" applyAlignment="1">
      <alignment horizontal="center" vertical="center" textRotation="90" wrapText="1"/>
    </xf>
    <xf numFmtId="0" fontId="97" fillId="5" borderId="20" xfId="0" applyFont="1" applyFill="1" applyBorder="1" applyAlignment="1">
      <alignment horizontal="center" vertical="center" textRotation="90" wrapText="1"/>
    </xf>
    <xf numFmtId="0" fontId="16" fillId="2" borderId="0" xfId="0" applyFont="1" applyFill="1" applyAlignment="1">
      <alignment vertical="center"/>
    </xf>
    <xf numFmtId="0" fontId="9" fillId="10" borderId="0" xfId="3" applyFill="1" applyAlignment="1" applyProtection="1">
      <alignment vertical="center"/>
      <protection locked="0"/>
    </xf>
    <xf numFmtId="6" fontId="0" fillId="9" borderId="0" xfId="0" applyNumberFormat="1" applyFill="1"/>
    <xf numFmtId="165" fontId="0" fillId="9" borderId="0" xfId="0" applyNumberFormat="1" applyFill="1"/>
    <xf numFmtId="0" fontId="0" fillId="3" borderId="0" xfId="0" applyFill="1"/>
    <xf numFmtId="0" fontId="17" fillId="3" borderId="0" xfId="0" applyFont="1" applyFill="1" applyAlignment="1">
      <alignment horizontal="center"/>
    </xf>
    <xf numFmtId="0" fontId="0" fillId="3" borderId="1" xfId="0" applyFill="1" applyBorder="1"/>
    <xf numFmtId="0" fontId="4" fillId="3" borderId="13" xfId="0" applyFont="1" applyFill="1" applyBorder="1" applyAlignment="1">
      <alignment horizontal="center"/>
    </xf>
    <xf numFmtId="0" fontId="0" fillId="3" borderId="13" xfId="0" applyFill="1" applyBorder="1" applyProtection="1">
      <protection locked="0"/>
    </xf>
    <xf numFmtId="0" fontId="18" fillId="3" borderId="1" xfId="0" applyFont="1" applyFill="1" applyBorder="1" applyProtection="1">
      <protection locked="0"/>
    </xf>
    <xf numFmtId="0" fontId="27" fillId="3" borderId="0" xfId="0" applyFont="1" applyFill="1"/>
    <xf numFmtId="0" fontId="18" fillId="3" borderId="0" xfId="0" applyFont="1" applyFill="1"/>
    <xf numFmtId="0" fontId="0" fillId="3" borderId="13" xfId="0" applyFill="1" applyBorder="1" applyAlignment="1" applyProtection="1">
      <alignment horizontal="right"/>
      <protection locked="0"/>
    </xf>
    <xf numFmtId="0" fontId="4" fillId="3" borderId="0" xfId="0" applyFont="1" applyFill="1"/>
    <xf numFmtId="10" fontId="0" fillId="3" borderId="13" xfId="2" applyNumberFormat="1" applyFont="1" applyFill="1" applyBorder="1" applyProtection="1">
      <protection locked="0"/>
    </xf>
    <xf numFmtId="0" fontId="0" fillId="3" borderId="6" xfId="0" applyFill="1" applyBorder="1"/>
    <xf numFmtId="0" fontId="0" fillId="3" borderId="8" xfId="0" applyFill="1" applyBorder="1"/>
    <xf numFmtId="10" fontId="0" fillId="3" borderId="9" xfId="2" applyNumberFormat="1" applyFont="1" applyFill="1" applyBorder="1"/>
    <xf numFmtId="0" fontId="0" fillId="3" borderId="10" xfId="0" applyFill="1" applyBorder="1"/>
    <xf numFmtId="0" fontId="0" fillId="3" borderId="11" xfId="0" applyFill="1" applyBorder="1"/>
    <xf numFmtId="10" fontId="0" fillId="3" borderId="13" xfId="2" applyNumberFormat="1" applyFont="1" applyFill="1" applyBorder="1"/>
    <xf numFmtId="0" fontId="0" fillId="3" borderId="4" xfId="0" applyFill="1" applyBorder="1"/>
    <xf numFmtId="10" fontId="0" fillId="3" borderId="16" xfId="2" applyNumberFormat="1" applyFont="1" applyFill="1" applyBorder="1" applyProtection="1">
      <protection locked="0"/>
    </xf>
    <xf numFmtId="0" fontId="0" fillId="3" borderId="0" xfId="0" applyFill="1" applyAlignment="1">
      <alignment vertical="center" textRotation="90"/>
    </xf>
    <xf numFmtId="0" fontId="19" fillId="3" borderId="1" xfId="0" applyFont="1" applyFill="1" applyBorder="1"/>
    <xf numFmtId="10" fontId="0" fillId="3" borderId="16" xfId="2" applyNumberFormat="1" applyFont="1" applyFill="1" applyBorder="1" applyAlignment="1" applyProtection="1">
      <alignment horizontal="center"/>
      <protection locked="0"/>
    </xf>
    <xf numFmtId="10" fontId="0" fillId="3" borderId="13" xfId="2" applyNumberFormat="1" applyFont="1" applyFill="1" applyBorder="1" applyProtection="1"/>
    <xf numFmtId="0" fontId="0" fillId="3" borderId="1" xfId="0" applyFill="1" applyBorder="1" applyAlignment="1">
      <alignment horizontal="center"/>
    </xf>
    <xf numFmtId="43" fontId="0" fillId="3" borderId="13" xfId="1" applyFont="1" applyFill="1" applyBorder="1" applyProtection="1">
      <protection locked="0"/>
    </xf>
    <xf numFmtId="43" fontId="0" fillId="3" borderId="0" xfId="1" applyFont="1" applyFill="1" applyBorder="1" applyProtection="1">
      <protection locked="0"/>
    </xf>
    <xf numFmtId="0" fontId="18" fillId="3" borderId="126" xfId="0" applyFont="1" applyFill="1" applyBorder="1"/>
    <xf numFmtId="0" fontId="4" fillId="3" borderId="0" xfId="0" applyFont="1" applyFill="1" applyAlignment="1">
      <alignment horizontal="center"/>
    </xf>
    <xf numFmtId="0" fontId="0" fillId="9" borderId="0" xfId="0" applyFill="1" applyBorder="1"/>
    <xf numFmtId="166" fontId="0" fillId="6" borderId="130" xfId="0" applyNumberFormat="1" applyFill="1" applyBorder="1" applyProtection="1">
      <protection locked="0"/>
    </xf>
    <xf numFmtId="166" fontId="90" fillId="6" borderId="13" xfId="0" applyNumberFormat="1" applyFont="1" applyFill="1" applyBorder="1" applyProtection="1">
      <protection locked="0"/>
    </xf>
    <xf numFmtId="0" fontId="0" fillId="6" borderId="72" xfId="0" applyFont="1" applyFill="1" applyBorder="1" applyProtection="1">
      <protection locked="0"/>
    </xf>
    <xf numFmtId="9" fontId="0" fillId="6" borderId="41" xfId="2" applyFont="1" applyFill="1" applyBorder="1"/>
    <xf numFmtId="1" fontId="0" fillId="6" borderId="72" xfId="2" applyNumberFormat="1" applyFont="1" applyFill="1" applyBorder="1"/>
    <xf numFmtId="165" fontId="0" fillId="6" borderId="41" xfId="4" applyNumberFormat="1" applyFont="1" applyFill="1" applyBorder="1"/>
    <xf numFmtId="0" fontId="0" fillId="9" borderId="0" xfId="0" applyFont="1" applyFill="1"/>
    <xf numFmtId="0" fontId="0" fillId="6" borderId="89" xfId="0" applyFont="1" applyFill="1" applyBorder="1" applyProtection="1">
      <protection locked="0"/>
    </xf>
    <xf numFmtId="9" fontId="0" fillId="6" borderId="40" xfId="2" applyFont="1" applyFill="1" applyBorder="1"/>
    <xf numFmtId="1" fontId="0" fillId="6" borderId="89" xfId="2" applyNumberFormat="1" applyFont="1" applyFill="1" applyBorder="1"/>
    <xf numFmtId="165" fontId="0" fillId="6" borderId="40" xfId="4" applyNumberFormat="1" applyFont="1" applyFill="1" applyBorder="1"/>
    <xf numFmtId="0" fontId="0" fillId="6" borderId="73" xfId="0" applyFont="1" applyFill="1" applyBorder="1" applyProtection="1">
      <protection locked="0"/>
    </xf>
    <xf numFmtId="9" fontId="0" fillId="6" borderId="34" xfId="2" applyFont="1" applyFill="1" applyBorder="1"/>
    <xf numFmtId="1" fontId="0" fillId="6" borderId="73" xfId="2" applyNumberFormat="1" applyFont="1" applyFill="1" applyBorder="1"/>
    <xf numFmtId="165" fontId="0" fillId="6" borderId="48" xfId="4" applyNumberFormat="1" applyFont="1" applyFill="1" applyBorder="1"/>
    <xf numFmtId="0" fontId="4" fillId="0" borderId="20" xfId="0" applyFont="1" applyBorder="1"/>
    <xf numFmtId="164" fontId="2" fillId="0" borderId="13" xfId="1" applyNumberFormat="1" applyFont="1" applyFill="1" applyBorder="1" applyAlignment="1" applyProtection="1">
      <alignment horizontal="center"/>
    </xf>
    <xf numFmtId="164" fontId="0" fillId="6" borderId="48" xfId="1" applyNumberFormat="1" applyFont="1" applyFill="1" applyBorder="1" applyAlignment="1">
      <alignment vertical="center"/>
    </xf>
    <xf numFmtId="164" fontId="2" fillId="6" borderId="13" xfId="1" applyNumberFormat="1" applyFont="1" applyFill="1" applyBorder="1" applyAlignment="1" applyProtection="1">
      <alignment horizontal="center"/>
    </xf>
    <xf numFmtId="164" fontId="0" fillId="0" borderId="48" xfId="1" applyNumberFormat="1" applyFont="1" applyFill="1" applyBorder="1" applyProtection="1">
      <protection locked="0"/>
    </xf>
    <xf numFmtId="10" fontId="0" fillId="0" borderId="48" xfId="1" applyNumberFormat="1" applyFont="1" applyFill="1" applyBorder="1" applyProtection="1">
      <protection locked="0"/>
    </xf>
    <xf numFmtId="10" fontId="2" fillId="0" borderId="13" xfId="1" applyNumberFormat="1" applyFont="1" applyFill="1" applyBorder="1" applyAlignment="1" applyProtection="1">
      <alignment horizontal="center"/>
    </xf>
    <xf numFmtId="164" fontId="2" fillId="0" borderId="22" xfId="1" applyNumberFormat="1" applyFont="1" applyFill="1" applyBorder="1" applyAlignment="1" applyProtection="1">
      <alignment horizontal="center"/>
      <protection locked="0"/>
    </xf>
    <xf numFmtId="164" fontId="0" fillId="0" borderId="128" xfId="2" applyNumberFormat="1" applyFont="1" applyFill="1" applyBorder="1" applyProtection="1">
      <protection locked="0"/>
    </xf>
    <xf numFmtId="164" fontId="0" fillId="0" borderId="24" xfId="2" applyNumberFormat="1" applyFont="1" applyFill="1" applyBorder="1" applyProtection="1">
      <protection locked="0"/>
    </xf>
    <xf numFmtId="164" fontId="2" fillId="0" borderId="66" xfId="1" applyNumberFormat="1" applyFont="1" applyFill="1" applyBorder="1" applyProtection="1">
      <protection locked="0"/>
    </xf>
    <xf numFmtId="164" fontId="2" fillId="0" borderId="132" xfId="1" applyNumberFormat="1" applyFont="1" applyFill="1" applyBorder="1" applyProtection="1">
      <protection locked="0"/>
    </xf>
    <xf numFmtId="0" fontId="6" fillId="10" borderId="0" xfId="0" applyFont="1" applyFill="1"/>
    <xf numFmtId="0" fontId="11" fillId="10" borderId="0" xfId="0" applyFont="1" applyFill="1" applyAlignment="1">
      <alignment horizontal="left"/>
    </xf>
    <xf numFmtId="0" fontId="25" fillId="10" borderId="0" xfId="0" applyFont="1" applyFill="1" applyAlignment="1">
      <alignment horizontal="center"/>
    </xf>
    <xf numFmtId="0" fontId="10" fillId="11" borderId="2" xfId="3" applyFont="1" applyFill="1" applyBorder="1" applyAlignment="1" applyProtection="1">
      <alignment horizontal="center"/>
    </xf>
    <xf numFmtId="0" fontId="10" fillId="11" borderId="3" xfId="3" applyFont="1" applyFill="1" applyBorder="1" applyAlignment="1" applyProtection="1">
      <alignment horizontal="center"/>
    </xf>
    <xf numFmtId="0" fontId="10" fillId="11" borderId="4" xfId="3" applyFont="1" applyFill="1" applyBorder="1" applyAlignment="1" applyProtection="1">
      <alignment horizontal="center"/>
    </xf>
    <xf numFmtId="0" fontId="31" fillId="10" borderId="5" xfId="0" applyFont="1" applyFill="1" applyBorder="1" applyAlignment="1">
      <alignment horizontal="center" vertical="center" wrapText="1"/>
    </xf>
    <xf numFmtId="0" fontId="12" fillId="10" borderId="6" xfId="0" applyFont="1" applyFill="1" applyBorder="1" applyAlignment="1">
      <alignment horizontal="center" vertical="center" wrapText="1"/>
    </xf>
    <xf numFmtId="0" fontId="12" fillId="10" borderId="7"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2" fillId="10" borderId="0" xfId="0" applyFont="1" applyFill="1" applyAlignment="1">
      <alignment horizontal="center" vertical="center" wrapText="1"/>
    </xf>
    <xf numFmtId="0" fontId="12" fillId="10" borderId="9" xfId="0" applyFont="1" applyFill="1" applyBorder="1" applyAlignment="1">
      <alignment horizontal="center" vertical="center" wrapText="1"/>
    </xf>
    <xf numFmtId="0" fontId="12" fillId="10" borderId="10"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0" fillId="8" borderId="2" xfId="3" applyFont="1" applyFill="1" applyBorder="1" applyAlignment="1">
      <alignment horizontal="center"/>
    </xf>
    <xf numFmtId="0" fontId="10" fillId="8" borderId="3" xfId="3" applyFont="1" applyFill="1" applyBorder="1" applyAlignment="1">
      <alignment horizontal="center"/>
    </xf>
    <xf numFmtId="0" fontId="10" fillId="8" borderId="4" xfId="3" applyFont="1" applyFill="1" applyBorder="1" applyAlignment="1">
      <alignment horizontal="center"/>
    </xf>
    <xf numFmtId="0" fontId="24" fillId="10" borderId="0" xfId="0" applyFont="1" applyFill="1" applyAlignment="1">
      <alignment horizontal="center"/>
    </xf>
    <xf numFmtId="0" fontId="10" fillId="9" borderId="2" xfId="3" applyFont="1" applyFill="1" applyBorder="1" applyAlignment="1">
      <alignment horizontal="center"/>
    </xf>
    <xf numFmtId="0" fontId="10" fillId="9" borderId="3" xfId="3" applyFont="1" applyFill="1" applyBorder="1" applyAlignment="1">
      <alignment horizontal="center"/>
    </xf>
    <xf numFmtId="0" fontId="10" fillId="9" borderId="4" xfId="3" applyFont="1" applyFill="1" applyBorder="1" applyAlignment="1">
      <alignment horizontal="center"/>
    </xf>
    <xf numFmtId="0" fontId="12" fillId="10" borderId="2"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0" fillId="9" borderId="2" xfId="3" applyFont="1" applyFill="1" applyBorder="1" applyAlignment="1">
      <alignment horizontal="center" vertical="center"/>
    </xf>
    <xf numFmtId="0" fontId="10" fillId="9" borderId="3" xfId="3" applyFont="1" applyFill="1" applyBorder="1" applyAlignment="1">
      <alignment horizontal="center" vertical="center"/>
    </xf>
    <xf numFmtId="0" fontId="10" fillId="9" borderId="4" xfId="3" applyFont="1" applyFill="1" applyBorder="1" applyAlignment="1">
      <alignment horizontal="center" vertical="center"/>
    </xf>
    <xf numFmtId="0" fontId="15" fillId="10" borderId="2" xfId="0" applyFont="1" applyFill="1" applyBorder="1" applyAlignment="1">
      <alignment horizontal="center" vertical="center" wrapText="1"/>
    </xf>
    <xf numFmtId="0" fontId="26" fillId="10" borderId="123" xfId="0" applyFont="1" applyFill="1" applyBorder="1" applyAlignment="1">
      <alignment horizontal="left" vertical="top"/>
    </xf>
    <xf numFmtId="0" fontId="26" fillId="10" borderId="6" xfId="0" applyFont="1" applyFill="1" applyBorder="1" applyAlignment="1">
      <alignment horizontal="left" vertical="top"/>
    </xf>
    <xf numFmtId="0" fontId="26" fillId="10" borderId="7" xfId="0" applyFont="1" applyFill="1" applyBorder="1" applyAlignment="1">
      <alignment horizontal="left" vertical="top"/>
    </xf>
    <xf numFmtId="0" fontId="26" fillId="10" borderId="10" xfId="0" applyFont="1" applyFill="1" applyBorder="1" applyAlignment="1">
      <alignment horizontal="left" vertical="top"/>
    </xf>
    <xf numFmtId="0" fontId="26" fillId="10" borderId="11" xfId="0" applyFont="1" applyFill="1" applyBorder="1" applyAlignment="1">
      <alignment horizontal="left" vertical="top"/>
    </xf>
    <xf numFmtId="0" fontId="26" fillId="10" borderId="12" xfId="0" applyFont="1" applyFill="1" applyBorder="1" applyAlignment="1">
      <alignment horizontal="left" vertical="top"/>
    </xf>
    <xf numFmtId="0" fontId="92" fillId="10" borderId="2"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10" fillId="8" borderId="2" xfId="3" applyFont="1" applyFill="1" applyBorder="1" applyAlignment="1">
      <alignment horizontal="center" vertical="center"/>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20" fillId="10" borderId="10" xfId="0" applyFont="1" applyFill="1" applyBorder="1" applyAlignment="1">
      <alignment horizontal="center" vertical="center"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0" fillId="10" borderId="2" xfId="0" applyFont="1" applyFill="1" applyBorder="1" applyAlignment="1">
      <alignment horizontal="center" vertical="center" wrapText="1"/>
    </xf>
    <xf numFmtId="0" fontId="21" fillId="10" borderId="3" xfId="0" applyFont="1" applyFill="1" applyBorder="1" applyAlignment="1">
      <alignment horizontal="center" vertical="center" wrapText="1"/>
    </xf>
    <xf numFmtId="0" fontId="21" fillId="10" borderId="4" xfId="0" applyFont="1" applyFill="1" applyBorder="1" applyAlignment="1">
      <alignment horizontal="center" vertical="center" wrapText="1"/>
    </xf>
    <xf numFmtId="0" fontId="6" fillId="3" borderId="0" xfId="0" applyFont="1" applyFill="1" applyAlignment="1">
      <alignment horizontal="center"/>
    </xf>
    <xf numFmtId="0" fontId="5" fillId="3" borderId="0" xfId="0" applyFont="1" applyFill="1" applyAlignment="1">
      <alignment horizontal="center"/>
    </xf>
    <xf numFmtId="0" fontId="4" fillId="3" borderId="17" xfId="0" applyFont="1" applyFill="1" applyBorder="1" applyAlignment="1">
      <alignment horizontal="center" vertical="center" textRotation="90"/>
    </xf>
    <xf numFmtId="0" fontId="4" fillId="3" borderId="18" xfId="0" applyFont="1" applyFill="1" applyBorder="1" applyAlignment="1">
      <alignment horizontal="center" vertical="center" textRotation="90"/>
    </xf>
    <xf numFmtId="0" fontId="4" fillId="3" borderId="19" xfId="0" applyFont="1" applyFill="1" applyBorder="1" applyAlignment="1">
      <alignment horizontal="center" vertical="center" textRotation="90"/>
    </xf>
    <xf numFmtId="0" fontId="3" fillId="3" borderId="14" xfId="0" applyFont="1" applyFill="1" applyBorder="1" applyAlignment="1">
      <alignment horizontal="center"/>
    </xf>
    <xf numFmtId="0" fontId="3" fillId="3" borderId="15" xfId="0" applyFont="1" applyFill="1" applyBorder="1" applyAlignment="1">
      <alignment horizontal="center"/>
    </xf>
    <xf numFmtId="0" fontId="9" fillId="3" borderId="0" xfId="3" applyFill="1" applyProtection="1">
      <protection locked="0"/>
    </xf>
    <xf numFmtId="0" fontId="11" fillId="4" borderId="81" xfId="0" applyFont="1" applyFill="1" applyBorder="1" applyAlignment="1">
      <alignment horizontal="center"/>
    </xf>
    <xf numFmtId="0" fontId="11" fillId="4" borderId="84" xfId="0" applyFont="1" applyFill="1" applyBorder="1" applyAlignment="1">
      <alignment horizontal="center"/>
    </xf>
    <xf numFmtId="0" fontId="11" fillId="9" borderId="109" xfId="0" applyFont="1" applyFill="1" applyBorder="1" applyAlignment="1">
      <alignment horizontal="center"/>
    </xf>
    <xf numFmtId="0" fontId="11" fillId="9" borderId="110" xfId="0" applyFont="1" applyFill="1" applyBorder="1" applyAlignment="1">
      <alignment horizontal="center"/>
    </xf>
    <xf numFmtId="43" fontId="11" fillId="4" borderId="84" xfId="1" applyFont="1" applyFill="1" applyBorder="1" applyAlignment="1">
      <alignment horizontal="center"/>
    </xf>
    <xf numFmtId="164" fontId="11" fillId="4" borderId="61" xfId="1" applyNumberFormat="1" applyFont="1" applyFill="1" applyBorder="1" applyAlignment="1">
      <alignment horizontal="center"/>
    </xf>
    <xf numFmtId="43" fontId="11" fillId="4" borderId="84" xfId="1" applyFont="1" applyFill="1" applyBorder="1" applyAlignment="1" applyProtection="1">
      <alignment horizontal="center"/>
    </xf>
    <xf numFmtId="0" fontId="11" fillId="3" borderId="14" xfId="0" applyFont="1" applyFill="1" applyBorder="1" applyAlignment="1">
      <alignment horizontal="center"/>
    </xf>
    <xf numFmtId="0" fontId="11" fillId="3" borderId="15" xfId="0" applyFont="1" applyFill="1" applyBorder="1" applyAlignment="1">
      <alignment horizontal="center"/>
    </xf>
    <xf numFmtId="0" fontId="6" fillId="3" borderId="14" xfId="0" applyFont="1" applyFill="1" applyBorder="1" applyAlignment="1">
      <alignment horizontal="left"/>
    </xf>
    <xf numFmtId="0" fontId="6" fillId="3" borderId="21" xfId="0" applyFont="1" applyFill="1" applyBorder="1" applyAlignment="1">
      <alignment horizontal="left"/>
    </xf>
    <xf numFmtId="0" fontId="6" fillId="3" borderId="15" xfId="0" applyFont="1" applyFill="1" applyBorder="1" applyAlignment="1">
      <alignment horizontal="left"/>
    </xf>
    <xf numFmtId="0" fontId="5" fillId="9" borderId="14" xfId="0" applyFont="1" applyFill="1" applyBorder="1" applyAlignment="1">
      <alignment horizontal="center"/>
    </xf>
    <xf numFmtId="0" fontId="5" fillId="9" borderId="15" xfId="0" applyFont="1" applyFill="1" applyBorder="1" applyAlignment="1">
      <alignment horizontal="center"/>
    </xf>
    <xf numFmtId="0" fontId="4" fillId="5" borderId="14" xfId="0" applyFont="1" applyFill="1" applyBorder="1" applyAlignment="1">
      <alignment horizontal="center"/>
    </xf>
    <xf numFmtId="0" fontId="4" fillId="5" borderId="15" xfId="0" applyFont="1" applyFill="1" applyBorder="1" applyAlignment="1">
      <alignment horizontal="center"/>
    </xf>
    <xf numFmtId="0" fontId="30" fillId="3" borderId="14" xfId="0" applyFont="1" applyFill="1" applyBorder="1" applyAlignment="1">
      <alignment horizontal="left" vertical="top" wrapText="1"/>
    </xf>
    <xf numFmtId="0" fontId="30" fillId="3" borderId="21" xfId="0" applyFont="1" applyFill="1" applyBorder="1" applyAlignment="1">
      <alignment horizontal="left" vertical="top" wrapText="1"/>
    </xf>
    <xf numFmtId="0" fontId="30" fillId="3" borderId="15" xfId="0" applyFont="1" applyFill="1" applyBorder="1" applyAlignment="1">
      <alignment horizontal="left" vertical="top" wrapText="1"/>
    </xf>
    <xf numFmtId="0" fontId="0" fillId="9" borderId="0" xfId="0" applyFill="1" applyAlignment="1">
      <alignment horizontal="left" vertical="top" wrapText="1"/>
    </xf>
    <xf numFmtId="0" fontId="4" fillId="3" borderId="14" xfId="0" applyFont="1" applyFill="1" applyBorder="1" applyAlignment="1">
      <alignment horizontal="left" vertical="center"/>
    </xf>
    <xf numFmtId="0" fontId="4" fillId="3" borderId="21" xfId="0" applyFont="1" applyFill="1" applyBorder="1" applyAlignment="1">
      <alignment horizontal="left" vertical="center"/>
    </xf>
    <xf numFmtId="0" fontId="4" fillId="3" borderId="15" xfId="0" applyFont="1" applyFill="1" applyBorder="1" applyAlignment="1">
      <alignment horizontal="left" vertical="center"/>
    </xf>
    <xf numFmtId="0" fontId="11" fillId="4" borderId="14" xfId="0" applyFont="1" applyFill="1" applyBorder="1" applyAlignment="1">
      <alignment horizontal="center"/>
    </xf>
    <xf numFmtId="0" fontId="11" fillId="4" borderId="21" xfId="0" applyFont="1" applyFill="1" applyBorder="1" applyAlignment="1">
      <alignment horizontal="center"/>
    </xf>
    <xf numFmtId="0" fontId="11" fillId="4" borderId="15" xfId="0" applyFont="1" applyFill="1" applyBorder="1" applyAlignment="1">
      <alignment horizontal="center"/>
    </xf>
    <xf numFmtId="0" fontId="11" fillId="7" borderId="21" xfId="0" applyFont="1" applyFill="1" applyBorder="1" applyAlignment="1">
      <alignment horizontal="center"/>
    </xf>
    <xf numFmtId="0" fontId="11" fillId="7" borderId="15" xfId="0" applyFont="1" applyFill="1" applyBorder="1" applyAlignment="1">
      <alignment horizontal="center"/>
    </xf>
    <xf numFmtId="0" fontId="4" fillId="3" borderId="14" xfId="0" applyFont="1" applyFill="1" applyBorder="1" applyAlignment="1">
      <alignment horizontal="center"/>
    </xf>
    <xf numFmtId="0" fontId="4" fillId="3" borderId="15" xfId="0" applyFont="1" applyFill="1" applyBorder="1" applyAlignment="1">
      <alignment horizontal="center"/>
    </xf>
    <xf numFmtId="0" fontId="11" fillId="4" borderId="16" xfId="0" applyFont="1" applyFill="1" applyBorder="1" applyAlignment="1">
      <alignment horizontal="center"/>
    </xf>
    <xf numFmtId="0" fontId="11" fillId="4" borderId="26" xfId="0" applyFont="1" applyFill="1" applyBorder="1" applyAlignment="1">
      <alignment horizontal="center"/>
    </xf>
    <xf numFmtId="0" fontId="11" fillId="4" borderId="35" xfId="0" applyFont="1" applyFill="1" applyBorder="1" applyAlignment="1">
      <alignment horizontal="center"/>
    </xf>
    <xf numFmtId="0" fontId="11" fillId="5" borderId="25" xfId="0" applyFont="1" applyFill="1" applyBorder="1" applyAlignment="1">
      <alignment horizontal="center" textRotation="90" wrapText="1"/>
    </xf>
    <xf numFmtId="0" fontId="11" fillId="5" borderId="20" xfId="0" applyFont="1" applyFill="1" applyBorder="1" applyAlignment="1">
      <alignment horizontal="center" textRotation="90" wrapText="1"/>
    </xf>
    <xf numFmtId="0" fontId="11" fillId="4" borderId="64" xfId="0" applyFont="1" applyFill="1" applyBorder="1" applyAlignment="1">
      <alignment horizontal="center"/>
    </xf>
    <xf numFmtId="0" fontId="11" fillId="5" borderId="32" xfId="0" applyFont="1" applyFill="1" applyBorder="1" applyAlignment="1">
      <alignment horizontal="center" textRotation="90" wrapText="1"/>
    </xf>
    <xf numFmtId="0" fontId="11" fillId="5" borderId="86" xfId="0" applyFont="1" applyFill="1" applyBorder="1" applyAlignment="1">
      <alignment horizontal="center" textRotation="90" wrapText="1"/>
    </xf>
    <xf numFmtId="0" fontId="11" fillId="5" borderId="61" xfId="0" applyFont="1" applyFill="1" applyBorder="1" applyAlignment="1">
      <alignment horizontal="center" textRotation="90" wrapText="1"/>
    </xf>
    <xf numFmtId="0" fontId="11" fillId="5" borderId="62" xfId="0" applyFont="1" applyFill="1" applyBorder="1" applyAlignment="1">
      <alignment horizontal="center" textRotation="90" wrapText="1"/>
    </xf>
    <xf numFmtId="0" fontId="6" fillId="9" borderId="0" xfId="0" applyFont="1" applyFill="1" applyAlignment="1">
      <alignment horizontal="center"/>
    </xf>
    <xf numFmtId="0" fontId="5" fillId="9" borderId="0" xfId="0" applyFont="1" applyFill="1" applyAlignment="1">
      <alignment horizontal="center"/>
    </xf>
    <xf numFmtId="0" fontId="6" fillId="3" borderId="14" xfId="0" applyFont="1" applyFill="1" applyBorder="1" applyAlignment="1">
      <alignment horizontal="center"/>
    </xf>
    <xf numFmtId="0" fontId="6" fillId="3" borderId="21" xfId="0" applyFont="1" applyFill="1" applyBorder="1" applyAlignment="1">
      <alignment horizontal="center"/>
    </xf>
    <xf numFmtId="0" fontId="6" fillId="3" borderId="15" xfId="0" applyFont="1" applyFill="1" applyBorder="1" applyAlignment="1">
      <alignment horizontal="center"/>
    </xf>
    <xf numFmtId="0" fontId="5" fillId="3" borderId="14" xfId="0" applyFont="1" applyFill="1" applyBorder="1" applyAlignment="1">
      <alignment horizontal="center"/>
    </xf>
    <xf numFmtId="0" fontId="5" fillId="3" borderId="21" xfId="0" applyFont="1" applyFill="1" applyBorder="1" applyAlignment="1">
      <alignment horizontal="center"/>
    </xf>
    <xf numFmtId="0" fontId="5" fillId="3" borderId="15" xfId="0" applyFont="1" applyFill="1" applyBorder="1" applyAlignment="1">
      <alignment horizontal="center"/>
    </xf>
    <xf numFmtId="0" fontId="4" fillId="10" borderId="25" xfId="0" applyFont="1" applyFill="1" applyBorder="1" applyAlignment="1">
      <alignment horizontal="center" vertical="center" wrapText="1"/>
    </xf>
    <xf numFmtId="0" fontId="4" fillId="10" borderId="20" xfId="0" applyFont="1" applyFill="1" applyBorder="1" applyAlignment="1">
      <alignment horizontal="center" vertical="center" wrapText="1"/>
    </xf>
    <xf numFmtId="0" fontId="29" fillId="10" borderId="83" xfId="0" applyFont="1" applyFill="1" applyBorder="1" applyAlignment="1">
      <alignment horizontal="center" wrapText="1"/>
    </xf>
    <xf numFmtId="0" fontId="29" fillId="10" borderId="0" xfId="0" applyFont="1" applyFill="1" applyAlignment="1">
      <alignment horizontal="center" wrapText="1"/>
    </xf>
    <xf numFmtId="0" fontId="29" fillId="10" borderId="14" xfId="0" applyFont="1" applyFill="1" applyBorder="1" applyAlignment="1">
      <alignment horizontal="center" wrapText="1"/>
    </xf>
    <xf numFmtId="0" fontId="29" fillId="10" borderId="21" xfId="0" applyFont="1" applyFill="1" applyBorder="1" applyAlignment="1">
      <alignment horizontal="center" wrapText="1"/>
    </xf>
    <xf numFmtId="0" fontId="6" fillId="10" borderId="0" xfId="0" applyFont="1" applyFill="1" applyAlignment="1">
      <alignment horizontal="center"/>
    </xf>
    <xf numFmtId="0" fontId="5" fillId="10" borderId="0" xfId="0" applyFont="1" applyFill="1" applyAlignment="1">
      <alignment horizontal="center"/>
    </xf>
    <xf numFmtId="0" fontId="4" fillId="10" borderId="14" xfId="0" applyFont="1" applyFill="1" applyBorder="1" applyAlignment="1">
      <alignment horizontal="center" vertical="center" wrapText="1"/>
    </xf>
    <xf numFmtId="0" fontId="4" fillId="10" borderId="21" xfId="0" applyFont="1" applyFill="1" applyBorder="1" applyAlignment="1">
      <alignment horizontal="center" vertical="center" wrapText="1"/>
    </xf>
    <xf numFmtId="0" fontId="4" fillId="10" borderId="15" xfId="0" applyFont="1" applyFill="1" applyBorder="1" applyAlignment="1">
      <alignment horizontal="center" vertical="center" wrapText="1"/>
    </xf>
  </cellXfs>
  <cellStyles count="10069">
    <cellStyle name="20% - Accent1 10" xfId="24" xr:uid="{11DFBBDC-22D6-4BAE-A925-A4FACDBA37E6}"/>
    <cellStyle name="20% - Accent1 10 2" xfId="2567" xr:uid="{2E2211C4-CEBB-48B4-8417-FCA4DF7F4203}"/>
    <cellStyle name="20% - Accent1 10 3" xfId="2568" xr:uid="{18572757-DE64-4E4A-AAAE-D68142CE7E89}"/>
    <cellStyle name="20% - Accent1 10 4" xfId="2569" xr:uid="{1E5A33C0-D933-4896-A88A-BB1EBECBDFAB}"/>
    <cellStyle name="20% - Accent1 11" xfId="25" xr:uid="{D4055C26-9DA2-46D8-BEE4-EBE2FBAA2FAC}"/>
    <cellStyle name="20% - Accent1 11 2" xfId="2570" xr:uid="{06456589-7A3B-46F5-9F16-51CC359BC68F}"/>
    <cellStyle name="20% - Accent1 11 3" xfId="2571" xr:uid="{D5A4896E-576F-4FD6-B770-CB664A334927}"/>
    <cellStyle name="20% - Accent1 11 4" xfId="2572" xr:uid="{0F048822-AA31-456C-A6D8-888CF218C2FD}"/>
    <cellStyle name="20% - Accent1 12" xfId="26" xr:uid="{A5DBE2BB-82C0-48B4-8BFA-1C4117E7EB5B}"/>
    <cellStyle name="20% - Accent1 12 2" xfId="2573" xr:uid="{7D020018-B207-43DE-B58E-07F805508118}"/>
    <cellStyle name="20% - Accent1 12 3" xfId="2574" xr:uid="{484D88F7-7D59-4992-BC89-A00E199D60DB}"/>
    <cellStyle name="20% - Accent1 12 4" xfId="2575" xr:uid="{E6CD642D-AAB2-47E0-80CE-8412D03D6003}"/>
    <cellStyle name="20% - Accent1 13" xfId="27" xr:uid="{1E854396-6A1F-4024-A80B-7D45E508EE15}"/>
    <cellStyle name="20% - Accent1 13 2" xfId="2576" xr:uid="{DD4C09A2-6DC1-4AB6-9629-9C776BF36A36}"/>
    <cellStyle name="20% - Accent1 13 3" xfId="2577" xr:uid="{5123BFA4-5260-4DB0-A6DE-E5AFCD53AE45}"/>
    <cellStyle name="20% - Accent1 13 4" xfId="2578" xr:uid="{7FBFD2BC-B47E-4ED0-9337-15739B52F3B9}"/>
    <cellStyle name="20% - Accent1 14" xfId="28" xr:uid="{31311FDD-DA51-4890-A77B-C216B171EBD9}"/>
    <cellStyle name="20% - Accent1 14 2" xfId="2579" xr:uid="{FE6C6E32-FF6C-466A-B870-828ECF365403}"/>
    <cellStyle name="20% - Accent1 14 3" xfId="2580" xr:uid="{07E7FC1F-5C18-4FE5-947B-94ED3DEB9681}"/>
    <cellStyle name="20% - Accent1 14 4" xfId="2581" xr:uid="{4D27FE52-EF03-4887-B89D-1E6485F6E37C}"/>
    <cellStyle name="20% - Accent1 15" xfId="29" xr:uid="{F049DE57-A39A-49CF-A84A-81F38BEB0E80}"/>
    <cellStyle name="20% - Accent1 15 2" xfId="2582" xr:uid="{468F7E2B-6F7D-4329-9F0F-5CC5A4F6CFFE}"/>
    <cellStyle name="20% - Accent1 15 3" xfId="2583" xr:uid="{8654BF3C-E5E9-476C-9B22-13C629A5DF10}"/>
    <cellStyle name="20% - Accent1 15 4" xfId="2584" xr:uid="{A01DEF89-A49B-498E-81BB-01B972A351A8}"/>
    <cellStyle name="20% - Accent1 16" xfId="30" xr:uid="{A103E70E-016E-4531-8FBA-2D52DE9B7451}"/>
    <cellStyle name="20% - Accent1 16 2" xfId="2585" xr:uid="{204DA201-451F-42D1-9AC5-81B501E16B5A}"/>
    <cellStyle name="20% - Accent1 16 3" xfId="2586" xr:uid="{E64D99DE-CEE8-4671-A6B3-F10D5D7D6D2B}"/>
    <cellStyle name="20% - Accent1 16 4" xfId="2587" xr:uid="{44D25ED5-17F1-4778-BE44-0FB5CD0315E3}"/>
    <cellStyle name="20% - Accent1 17" xfId="31" xr:uid="{84B73A05-C7E3-4BAD-9408-55E701A60BF8}"/>
    <cellStyle name="20% - Accent1 17 2" xfId="2588" xr:uid="{5C795C6B-3419-4B13-BAB9-7C0F63E1A703}"/>
    <cellStyle name="20% - Accent1 17 3" xfId="2589" xr:uid="{2C9D9EB7-F253-4E44-8371-8FF6419A80EC}"/>
    <cellStyle name="20% - Accent1 17 4" xfId="2590" xr:uid="{FA620816-C89C-4A25-BBC8-E15D811F2E67}"/>
    <cellStyle name="20% - Accent1 18" xfId="32" xr:uid="{DC34A46C-687B-4E67-859C-77F87107AB0F}"/>
    <cellStyle name="20% - Accent1 18 2" xfId="2591" xr:uid="{1F753D2A-BFC5-430A-90B7-838DD1B59C0E}"/>
    <cellStyle name="20% - Accent1 18 3" xfId="2592" xr:uid="{5485F0E8-DC28-49EC-9E3D-8F07A94C9575}"/>
    <cellStyle name="20% - Accent1 18 4" xfId="2593" xr:uid="{ECF65C7B-6E4F-42BC-B90A-30B4F403A1E3}"/>
    <cellStyle name="20% - Accent1 19" xfId="33" xr:uid="{C424C74E-4093-461D-857E-D5B8856A446A}"/>
    <cellStyle name="20% - Accent1 19 2" xfId="2594" xr:uid="{3E98B0D6-2A31-473E-9557-4E1809112B56}"/>
    <cellStyle name="20% - Accent1 19 3" xfId="2595" xr:uid="{62BC5423-AAD5-4E43-ACF0-C4ED12A8A53E}"/>
    <cellStyle name="20% - Accent1 19 4" xfId="2596" xr:uid="{9309F6C0-A73E-4D90-9072-78BEB3C55B60}"/>
    <cellStyle name="20% - Accent1 2" xfId="34" xr:uid="{A3173853-B9CD-407C-8BF4-F23D3F4B34CC}"/>
    <cellStyle name="20% - Accent1 2 2" xfId="35" xr:uid="{A1353BE1-8794-43B1-9C7C-09F59A4AF0B7}"/>
    <cellStyle name="20% - Accent1 2 2 2" xfId="2366" xr:uid="{D5552C86-5CFD-4C02-B13D-516FC62A7595}"/>
    <cellStyle name="20% - Accent1 2 2 2 2" xfId="2597" xr:uid="{4D9312DA-F116-4D50-AA23-935B16F9BA81}"/>
    <cellStyle name="20% - Accent1 2 2 2 3" xfId="2598" xr:uid="{1EBD17E8-B7F5-4D24-832F-5D5CAEEE2A2F}"/>
    <cellStyle name="20% - Accent1 2 2 2 4" xfId="2599" xr:uid="{EB195021-F684-47F8-B8E6-C674AC6C7CF5}"/>
    <cellStyle name="20% - Accent1 2 2 3" xfId="2365" xr:uid="{70386077-B86F-4E1E-98E1-4FFB775354ED}"/>
    <cellStyle name="20% - Accent1 2 2 3 2" xfId="2600" xr:uid="{7EDDABEB-EDE5-4FA1-9254-F12182BAD71B}"/>
    <cellStyle name="20% - Accent1 2 2 3 2 2" xfId="2601" xr:uid="{CAAA3855-6A3A-476D-8061-8F4A066E9EAC}"/>
    <cellStyle name="20% - Accent1 2 2 3 2_Exist Trunk Assets - Ferry" xfId="8283" xr:uid="{2363FE9D-A21F-482C-BDA9-2C9FF7EB9C52}"/>
    <cellStyle name="20% - Accent1 2 2 3 3" xfId="2602" xr:uid="{1F46B068-7FB5-4BEF-A34E-C27F4719A7E9}"/>
    <cellStyle name="20% - Accent1 2 2 3 3 2" xfId="2603" xr:uid="{7C6955B1-0E3D-4A99-BFFA-EC993522237F}"/>
    <cellStyle name="20% - Accent1 2 2 3 3_Exist Trunk Assets - Ferry" xfId="8284" xr:uid="{8A08DFCB-02C1-4E95-BBE3-0694976514F7}"/>
    <cellStyle name="20% - Accent1 2 2 3 4" xfId="2604" xr:uid="{DFD97301-EACB-47D9-ADAA-B5E61C50A515}"/>
    <cellStyle name="20% - Accent1 2 2 3_Exist Trunk Assets - Ferry" xfId="8282" xr:uid="{3ECC0B32-B943-4EF5-ACF2-6F53117D8FF4}"/>
    <cellStyle name="20% - Accent1 2 2 4" xfId="2605" xr:uid="{F96F66E7-B503-4116-A8E0-82DF8D02E7CF}"/>
    <cellStyle name="20% - Accent1 2 2 5" xfId="2606" xr:uid="{EE2EACB3-89FE-4E5A-BAFF-5BA14F6E222A}"/>
    <cellStyle name="20% - Accent1 2 2 6" xfId="2607" xr:uid="{6088D497-68F1-402B-8242-47AE8FD4F2B7}"/>
    <cellStyle name="20% - Accent1 2 3" xfId="36" xr:uid="{782AB755-0FD1-4AEF-8096-CAC627920691}"/>
    <cellStyle name="20% - Accent1 2 3 2" xfId="2608" xr:uid="{EF36286C-31A8-43AB-839A-9BA7A7CA93FD}"/>
    <cellStyle name="20% - Accent1 2 3 2 2" xfId="2609" xr:uid="{1FE5CE52-1257-401D-A8A9-08A54F8C9FAE}"/>
    <cellStyle name="20% - Accent1 2 3 2_Exist Trunk Assets - Ferry" xfId="8286" xr:uid="{D4867260-C878-46CD-BF47-1012DE56D6AA}"/>
    <cellStyle name="20% - Accent1 2 3 3" xfId="2610" xr:uid="{2B291879-C81F-4BF7-A378-CB881D6626E4}"/>
    <cellStyle name="20% - Accent1 2 3 3 2" xfId="2611" xr:uid="{489627F4-16CC-4494-9ECE-27A4B7608A2E}"/>
    <cellStyle name="20% - Accent1 2 3 3_Exist Trunk Assets - Ferry" xfId="8287" xr:uid="{AC4061A9-A91C-43EF-9D2C-482124A4E978}"/>
    <cellStyle name="20% - Accent1 2 3 4" xfId="2612" xr:uid="{BAF90A8F-8F01-4AA2-91A7-89D511041873}"/>
    <cellStyle name="20% - Accent1 2 3_Exist Trunk Assets - Ferry" xfId="8285" xr:uid="{B65772B2-2985-4113-8815-A230622925C4}"/>
    <cellStyle name="20% - Accent1 2 4" xfId="2613" xr:uid="{4E15BB9C-DDE4-43F8-9D1A-B454CA722840}"/>
    <cellStyle name="20% - Accent1 2 4 2" xfId="2614" xr:uid="{63ECE096-F213-4B36-8685-A913764FA5D9}"/>
    <cellStyle name="20% - Accent1 2 4_Exist Trunk Assets - Ferry" xfId="8288" xr:uid="{3E052590-A145-413D-8A0B-B423834039F6}"/>
    <cellStyle name="20% - Accent1 2 5" xfId="2615" xr:uid="{DE45FF41-0B46-4091-BAF8-5BD6BF123C5C}"/>
    <cellStyle name="20% - Accent1 2 5 2" xfId="2616" xr:uid="{37C5B3C1-7F8D-4E4A-935E-92B060549AD3}"/>
    <cellStyle name="20% - Accent1 2 5_Exist Trunk Assets - Ferry" xfId="8289" xr:uid="{CA6ECF0D-AECC-4443-B576-EF45A7E5B2C5}"/>
    <cellStyle name="20% - Accent1 2 6" xfId="2617" xr:uid="{6A2D9647-1F41-44B3-847F-A41940ED48DB}"/>
    <cellStyle name="20% - Accent1 2 7" xfId="8125" xr:uid="{D72DC8FE-8583-4220-BD84-852730183131}"/>
    <cellStyle name="20% - Accent1 2_Exist Trunk Assets - Ferry" xfId="8281" xr:uid="{E4A32674-1844-4435-8E28-15EA3D44C906}"/>
    <cellStyle name="20% - Accent1 20" xfId="37" xr:uid="{0F9D2F7E-080E-4A61-9E99-3ECCA1CD4E04}"/>
    <cellStyle name="20% - Accent1 20 2" xfId="2618" xr:uid="{03FA27FF-7229-431B-908E-850287ED2A00}"/>
    <cellStyle name="20% - Accent1 20 3" xfId="2619" xr:uid="{09CBDA27-B736-4795-8259-0AAA1C7E4BD4}"/>
    <cellStyle name="20% - Accent1 20 4" xfId="2620" xr:uid="{2BD144AE-2BDF-4EE3-8741-352401CD8BAF}"/>
    <cellStyle name="20% - Accent1 21" xfId="38" xr:uid="{B5E2D02B-0B36-4FC3-8EA0-55BC08ED0DA7}"/>
    <cellStyle name="20% - Accent1 21 2" xfId="2621" xr:uid="{DB3EEB37-24F2-442A-9EC0-602207C0A808}"/>
    <cellStyle name="20% - Accent1 21 3" xfId="2622" xr:uid="{1BC172E4-BF0A-4EE9-851B-CC7035559721}"/>
    <cellStyle name="20% - Accent1 21 4" xfId="2623" xr:uid="{C2215987-B47D-49A0-B134-0A612F29227B}"/>
    <cellStyle name="20% - Accent1 22" xfId="39" xr:uid="{469CE8F2-D4A1-4F18-ADA9-F01E0E890630}"/>
    <cellStyle name="20% - Accent1 22 2" xfId="2624" xr:uid="{86B4B63D-927E-4F4F-B32D-AB0161EFFC12}"/>
    <cellStyle name="20% - Accent1 22 3" xfId="2625" xr:uid="{4ABFD362-60BB-44CF-8183-B9AF4F3AF6D4}"/>
    <cellStyle name="20% - Accent1 22 4" xfId="2626" xr:uid="{8E46AF38-98A0-4065-8BC4-BB76BFDD03F1}"/>
    <cellStyle name="20% - Accent1 23" xfId="40" xr:uid="{9BBFDBDB-0A7F-4C1A-AF84-DCBCA90238D2}"/>
    <cellStyle name="20% - Accent1 23 2" xfId="2627" xr:uid="{DB3FC8F7-D1DC-4D3F-ACEB-8DD8E18B54C9}"/>
    <cellStyle name="20% - Accent1 23 3" xfId="2628" xr:uid="{F8052ED5-1AAF-4DF7-9412-D9F4C50716E7}"/>
    <cellStyle name="20% - Accent1 23 4" xfId="2629" xr:uid="{DDAA64B1-2183-49F9-8FBD-89EC7C0E4F7C}"/>
    <cellStyle name="20% - Accent1 24" xfId="41" xr:uid="{F4776DFF-D3AF-4BC4-A4E8-4E57B0F52B12}"/>
    <cellStyle name="20% - Accent1 24 2" xfId="2630" xr:uid="{5C1ECE59-1940-414E-B3FA-09EDB6151D72}"/>
    <cellStyle name="20% - Accent1 24 3" xfId="2631" xr:uid="{64C8C4FE-98F4-4F9F-8180-3EB407DA54AE}"/>
    <cellStyle name="20% - Accent1 24 4" xfId="2632" xr:uid="{174B4C69-04DC-4B73-A4B1-FE9D60B4265E}"/>
    <cellStyle name="20% - Accent1 25" xfId="42" xr:uid="{8D9625C3-85B6-4CBA-A35F-883BACC50392}"/>
    <cellStyle name="20% - Accent1 25 2" xfId="2633" xr:uid="{E056A3C8-5B3D-4FC1-8147-2600449E41DD}"/>
    <cellStyle name="20% - Accent1 25 3" xfId="2634" xr:uid="{85684159-C1C7-4A96-8CDD-757DB1636444}"/>
    <cellStyle name="20% - Accent1 25 4" xfId="2635" xr:uid="{8E2887F4-1DE6-47AE-BA42-627BD4ED7919}"/>
    <cellStyle name="20% - Accent1 26" xfId="43" xr:uid="{0A22A845-7DE0-41CF-8465-D4BC6278A51F}"/>
    <cellStyle name="20% - Accent1 26 2" xfId="2636" xr:uid="{DE3CD674-D71E-4559-921C-0D746D6F2AF7}"/>
    <cellStyle name="20% - Accent1 26 3" xfId="2637" xr:uid="{B3EBED02-466A-4421-8EAF-93D091AD755F}"/>
    <cellStyle name="20% - Accent1 26 4" xfId="2638" xr:uid="{0755CF45-23EE-451E-9A61-A85208BCA4F4}"/>
    <cellStyle name="20% - Accent1 27" xfId="44" xr:uid="{A8E0EDB6-356C-4FC4-BEB3-4FDCCFA75149}"/>
    <cellStyle name="20% - Accent1 27 2" xfId="2639" xr:uid="{93BFBD44-34B6-4D4A-9FA3-0BF96B0FE9F4}"/>
    <cellStyle name="20% - Accent1 27 3" xfId="2640" xr:uid="{6067B2EB-9EB5-4A7C-B371-20057ED01E37}"/>
    <cellStyle name="20% - Accent1 27 4" xfId="2641" xr:uid="{BFAB2166-E6AB-4D99-AF44-E9F1A930350D}"/>
    <cellStyle name="20% - Accent1 28" xfId="45" xr:uid="{940C9796-93A8-4F1E-BF34-120E544179DD}"/>
    <cellStyle name="20% - Accent1 28 2" xfId="2642" xr:uid="{61E6F63A-3522-4702-BE70-3B8FCEAE3DBB}"/>
    <cellStyle name="20% - Accent1 28 3" xfId="2643" xr:uid="{1CA5BB4C-7266-4CAC-AE6A-7105E0C0F9C5}"/>
    <cellStyle name="20% - Accent1 28 4" xfId="2644" xr:uid="{F5558986-88E0-4864-81EE-0BA17ADAE0B5}"/>
    <cellStyle name="20% - Accent1 29" xfId="46" xr:uid="{ADB7E39F-B790-4B10-9D86-A37F2BE1BC51}"/>
    <cellStyle name="20% - Accent1 29 2" xfId="2645" xr:uid="{3387073F-8DAC-4734-9CEA-41B1A3BE404A}"/>
    <cellStyle name="20% - Accent1 29 3" xfId="2646" xr:uid="{8941EE96-63EC-4E5F-A7EE-BBF2A38FD080}"/>
    <cellStyle name="20% - Accent1 29 4" xfId="2647" xr:uid="{1B26B0E2-A950-42F5-88FC-CAF427934731}"/>
    <cellStyle name="20% - Accent1 3" xfId="47" xr:uid="{5F99AE27-3A03-445D-B938-3AD779A81552}"/>
    <cellStyle name="20% - Accent1 3 2" xfId="48" xr:uid="{033663A0-E475-4E3F-801C-B47DF17422EB}"/>
    <cellStyle name="20% - Accent1 3 2 2" xfId="2648" xr:uid="{F9472AEF-2F3A-4286-BDD1-B69969032001}"/>
    <cellStyle name="20% - Accent1 3 2 2 2" xfId="2649" xr:uid="{7A631D78-7AAB-4494-B0B0-F7F7EB72D4D9}"/>
    <cellStyle name="20% - Accent1 3 2 2_Exist Trunk Assets - Ferry" xfId="8292" xr:uid="{0D3C20FB-E62B-47DD-B3C7-B0150587CEA3}"/>
    <cellStyle name="20% - Accent1 3 2 3" xfId="2650" xr:uid="{E82281B3-8A6E-4435-B4D2-A66A79F61BE8}"/>
    <cellStyle name="20% - Accent1 3 2 3 2" xfId="2651" xr:uid="{A31D1688-335D-4F52-A79C-DB59C139B2D9}"/>
    <cellStyle name="20% - Accent1 3 2 3_Exist Trunk Assets - Ferry" xfId="8293" xr:uid="{6118E505-8A3F-4F89-BC16-1421E43AC32D}"/>
    <cellStyle name="20% - Accent1 3 2 4" xfId="2652" xr:uid="{5C3450A8-76B2-4900-B6FB-3C8ED0ADD331}"/>
    <cellStyle name="20% - Accent1 3 2_Exist Trunk Assets - Ferry" xfId="8291" xr:uid="{1DE9A17E-1072-4340-B8E0-8114CAC39BEC}"/>
    <cellStyle name="20% - Accent1 3 3" xfId="1833" xr:uid="{60DEEA63-D546-4084-AC94-E85AD4F5388E}"/>
    <cellStyle name="20% - Accent1 3 3 2" xfId="2653" xr:uid="{B9C3E626-8796-41E3-A95F-AA5B16F0D7B5}"/>
    <cellStyle name="20% - Accent1 3 3 3" xfId="2654" xr:uid="{E17F7151-0DD0-4886-8082-D90D7C6C777D}"/>
    <cellStyle name="20% - Accent1 3 3 4" xfId="2655" xr:uid="{30D0D2C5-3F9F-4583-834F-2D7065378955}"/>
    <cellStyle name="20% - Accent1 3 4" xfId="2656" xr:uid="{3D9A8CA0-B844-4040-A6DC-12A76BBBBE07}"/>
    <cellStyle name="20% - Accent1 3 4 2" xfId="2657" xr:uid="{3AEF20FD-348C-49AC-BF0F-7FC09B240097}"/>
    <cellStyle name="20% - Accent1 3 4_Exist Trunk Assets - Ferry" xfId="8294" xr:uid="{05306855-C6BF-4989-BC17-52B4948A3F38}"/>
    <cellStyle name="20% - Accent1 3 5" xfId="2658" xr:uid="{94F210DC-DD28-40E1-B192-8C9A6A2ABC98}"/>
    <cellStyle name="20% - Accent1 3 5 2" xfId="2659" xr:uid="{1C1B4CBB-CC9F-4447-8F1C-4EB2D9D36F21}"/>
    <cellStyle name="20% - Accent1 3 5_Exist Trunk Assets - Ferry" xfId="8295" xr:uid="{3D095B12-9C94-47A5-BC0A-70CBE738AE5A}"/>
    <cellStyle name="20% - Accent1 3 6" xfId="2660" xr:uid="{DB03D062-5542-4DF8-9C5D-3EFBD8C0EEE9}"/>
    <cellStyle name="20% - Accent1 3_Exist Trunk Assets - Ferry" xfId="8290" xr:uid="{ECC24F13-E1B8-46B3-B0F2-AC7801BC5FCD}"/>
    <cellStyle name="20% - Accent1 30" xfId="49" xr:uid="{FD490183-CB08-428E-A23B-D729CA730438}"/>
    <cellStyle name="20% - Accent1 30 2" xfId="2661" xr:uid="{CC93AA91-0D4C-4433-B1D7-B42D0238F3BF}"/>
    <cellStyle name="20% - Accent1 30 3" xfId="2662" xr:uid="{0296065A-332C-40B9-8062-1708862FE126}"/>
    <cellStyle name="20% - Accent1 30 4" xfId="2663" xr:uid="{3809171F-1201-4091-942B-5B3DCED00C0C}"/>
    <cellStyle name="20% - Accent1 31" xfId="50" xr:uid="{EEAC5626-1C78-452F-96AE-2420DCC7F9D2}"/>
    <cellStyle name="20% - Accent1 31 2" xfId="2664" xr:uid="{1EB2C53A-7C93-4576-B6B6-1EE00BEFF7B9}"/>
    <cellStyle name="20% - Accent1 31 3" xfId="2665" xr:uid="{E5ADACBA-7585-45A6-B5AF-6B9E742DBEA4}"/>
    <cellStyle name="20% - Accent1 31 4" xfId="2666" xr:uid="{4F13FE1B-A315-4F15-9918-739A75F3AE08}"/>
    <cellStyle name="20% - Accent1 32" xfId="51" xr:uid="{C5805020-D32F-4C40-93EB-A79EBAC7DAE4}"/>
    <cellStyle name="20% - Accent1 32 2" xfId="2667" xr:uid="{A6E7B4B3-F4A4-437D-9BB4-5E1FA710B8DB}"/>
    <cellStyle name="20% - Accent1 32 3" xfId="2668" xr:uid="{BDD951F7-A658-40E5-BC98-4AED67238204}"/>
    <cellStyle name="20% - Accent1 32 4" xfId="2669" xr:uid="{F5DE5837-D49C-4208-8C4A-00B39F2F2F2B}"/>
    <cellStyle name="20% - Accent1 33" xfId="52" xr:uid="{D30DF03D-4BA6-46F1-AE27-66D992FF76F8}"/>
    <cellStyle name="20% - Accent1 33 2" xfId="2670" xr:uid="{7AAB0923-A623-4CB0-9B69-EA117251642B}"/>
    <cellStyle name="20% - Accent1 33 3" xfId="2671" xr:uid="{580FF7B3-E894-4F92-ABB8-F250CC62F8A7}"/>
    <cellStyle name="20% - Accent1 33 4" xfId="2672" xr:uid="{9B645C5C-20B7-47F5-8094-D75D5CC05594}"/>
    <cellStyle name="20% - Accent1 34" xfId="53" xr:uid="{534D4F7D-25B7-4F1E-952E-4ED552546FF8}"/>
    <cellStyle name="20% - Accent1 34 2" xfId="2673" xr:uid="{C2A89260-A8F9-4D04-876E-4D4304D8345F}"/>
    <cellStyle name="20% - Accent1 34 3" xfId="2674" xr:uid="{17F66906-2221-4864-B8ED-93E38F9295B9}"/>
    <cellStyle name="20% - Accent1 34 4" xfId="2675" xr:uid="{2C5224E3-882B-4E38-BD2D-323C1DB521C9}"/>
    <cellStyle name="20% - Accent1 35" xfId="54" xr:uid="{D0CAACCD-5B7A-4BE0-B12C-A63B3744DD28}"/>
    <cellStyle name="20% - Accent1 35 2" xfId="2676" xr:uid="{624FB3F1-1044-4270-8A28-2B52B515DC5E}"/>
    <cellStyle name="20% - Accent1 35 3" xfId="2677" xr:uid="{AFB931F4-EC8C-4DCC-B4B3-32810C58742E}"/>
    <cellStyle name="20% - Accent1 35 4" xfId="2678" xr:uid="{150390EC-3E14-49F4-89B3-7C6D5076FBF1}"/>
    <cellStyle name="20% - Accent1 36" xfId="55" xr:uid="{CBEFE687-74DF-4622-852E-96505F918E83}"/>
    <cellStyle name="20% - Accent1 36 2" xfId="2679" xr:uid="{B29FE7E5-7FA7-4E7B-9D92-BA565781D55C}"/>
    <cellStyle name="20% - Accent1 36 3" xfId="2680" xr:uid="{7D78B4C3-716C-4059-8836-24BAAEA0DEC1}"/>
    <cellStyle name="20% - Accent1 36 4" xfId="2681" xr:uid="{DA38A1D1-0BBE-4F47-BDB8-3EA2A9F3241E}"/>
    <cellStyle name="20% - Accent1 37" xfId="56" xr:uid="{25BAF20C-694D-4BE6-ADF0-14B90DEF1D46}"/>
    <cellStyle name="20% - Accent1 37 2" xfId="2682" xr:uid="{9F1B94A7-9179-4A78-AA7A-DC9E21BCCA42}"/>
    <cellStyle name="20% - Accent1 37 3" xfId="2683" xr:uid="{EA8C2E0D-3166-4413-9287-A3BF9C0FC75F}"/>
    <cellStyle name="20% - Accent1 37 4" xfId="2684" xr:uid="{E86ACAF7-5713-4B69-B4BA-6B859CBE100D}"/>
    <cellStyle name="20% - Accent1 38" xfId="57" xr:uid="{35506C54-235A-45A7-906B-79C3F4C3E41E}"/>
    <cellStyle name="20% - Accent1 38 2" xfId="2685" xr:uid="{5C3A1785-2249-4287-89A4-5BF22B1FD2E1}"/>
    <cellStyle name="20% - Accent1 38 3" xfId="2686" xr:uid="{BB01BAB7-D327-4553-BC70-48721CB55EDB}"/>
    <cellStyle name="20% - Accent1 38 4" xfId="2687" xr:uid="{2AC20537-31E8-4A86-8FCC-5792D94997B5}"/>
    <cellStyle name="20% - Accent1 39" xfId="58" xr:uid="{43328FA5-9B2A-4DEC-8889-9B801C9E9591}"/>
    <cellStyle name="20% - Accent1 39 2" xfId="2688" xr:uid="{BEADBCCE-70E1-45D9-87BA-F1D0CD766FD6}"/>
    <cellStyle name="20% - Accent1 39 3" xfId="2689" xr:uid="{424BAAFF-A9E8-4609-A763-69A352AEA50C}"/>
    <cellStyle name="20% - Accent1 39 4" xfId="2690" xr:uid="{4C6C125C-1033-41F4-BEBD-7DBD1569F4CD}"/>
    <cellStyle name="20% - Accent1 4" xfId="59" xr:uid="{CADF86BA-952C-49CA-A077-2D79CEB01970}"/>
    <cellStyle name="20% - Accent1 4 2" xfId="60" xr:uid="{26A56F2D-F54D-4DB7-AD11-79D4BACE6807}"/>
    <cellStyle name="20% - Accent1 4 2 2" xfId="2691" xr:uid="{933C66DD-B1AB-411B-807E-19FC2FA860BC}"/>
    <cellStyle name="20% - Accent1 4 2 2 2" xfId="2692" xr:uid="{E458862C-CD3A-41F8-80BB-AA844481CC83}"/>
    <cellStyle name="20% - Accent1 4 2 2_Exist Trunk Assets - Ferry" xfId="8298" xr:uid="{3A5028C5-B058-446D-87E1-5F3406244FBD}"/>
    <cellStyle name="20% - Accent1 4 2 3" xfId="2693" xr:uid="{1D9F2CE5-4784-4510-9843-35BA8D6E91BF}"/>
    <cellStyle name="20% - Accent1 4 2 3 2" xfId="2694" xr:uid="{676D5978-D179-4F16-B21B-74A4FB77C008}"/>
    <cellStyle name="20% - Accent1 4 2 3_Exist Trunk Assets - Ferry" xfId="8299" xr:uid="{09B03DCF-0A02-467D-A071-0BF8CDF706DF}"/>
    <cellStyle name="20% - Accent1 4 2 4" xfId="2695" xr:uid="{0AB2A843-FF03-4F49-A8AA-032DC477AAF0}"/>
    <cellStyle name="20% - Accent1 4 2_Exist Trunk Assets - Ferry" xfId="8297" xr:uid="{D007F05F-B012-4C17-8D3E-7CB166173091}"/>
    <cellStyle name="20% - Accent1 4 3" xfId="1834" xr:uid="{CC747B5D-AB1D-4A22-B7AE-63302F6A977D}"/>
    <cellStyle name="20% - Accent1 4 3 2" xfId="2696" xr:uid="{46B4B1DC-0B86-4D3A-9697-CF25AB128A2F}"/>
    <cellStyle name="20% - Accent1 4 3 3" xfId="2697" xr:uid="{069E1FD9-3285-4D67-9A02-366521C1DBD8}"/>
    <cellStyle name="20% - Accent1 4 3 4" xfId="2698" xr:uid="{6DA9C572-A633-4BF2-ABA2-67C2C8475BDB}"/>
    <cellStyle name="20% - Accent1 4 4" xfId="2699" xr:uid="{DD6CA691-BE1E-47C8-BA80-15BB40A0681D}"/>
    <cellStyle name="20% - Accent1 4 4 2" xfId="2700" xr:uid="{26F75355-D528-4349-8C9D-A97E059B3E4D}"/>
    <cellStyle name="20% - Accent1 4 4_Exist Trunk Assets - Ferry" xfId="8300" xr:uid="{04C2CDA7-2A0A-48B5-ADBD-A491C4CFB052}"/>
    <cellStyle name="20% - Accent1 4 5" xfId="2701" xr:uid="{3ACCAE73-F70D-4465-AB5B-9C1FE209E383}"/>
    <cellStyle name="20% - Accent1 4 5 2" xfId="2702" xr:uid="{87D54EC5-6B51-42C8-AAC6-EF27A2C1721F}"/>
    <cellStyle name="20% - Accent1 4 5_Exist Trunk Assets - Ferry" xfId="8301" xr:uid="{977BD9BC-F9BF-4285-9CF9-ABCAA4D3F750}"/>
    <cellStyle name="20% - Accent1 4 6" xfId="2703" xr:uid="{29EEC67B-46C0-4027-BDF4-241EE30012D3}"/>
    <cellStyle name="20% - Accent1 4_Exist Trunk Assets - Ferry" xfId="8296" xr:uid="{2303610A-B115-4F70-AAD5-79FB4B326062}"/>
    <cellStyle name="20% - Accent1 40" xfId="61" xr:uid="{393AF534-63EC-4247-A8D3-53F5B0CED05A}"/>
    <cellStyle name="20% - Accent1 40 2" xfId="2704" xr:uid="{E79A66CE-9585-4552-BF88-9175C14B9C9F}"/>
    <cellStyle name="20% - Accent1 40 3" xfId="2705" xr:uid="{F1A09828-3EFE-4330-A5CB-C34A471EBFDC}"/>
    <cellStyle name="20% - Accent1 40 4" xfId="2706" xr:uid="{31E42B1A-47B1-4EBD-A71C-9C287C2A42B8}"/>
    <cellStyle name="20% - Accent1 5" xfId="62" xr:uid="{71DC238D-74D8-4A83-BC36-B4B6D81FB880}"/>
    <cellStyle name="20% - Accent1 5 2" xfId="1832" xr:uid="{54C5A1A3-4F56-43D1-89CA-8614B40288AB}"/>
    <cellStyle name="20% - Accent1 5 2 2" xfId="2367" xr:uid="{1DD58FD9-158C-487B-8C36-9B1599842658}"/>
    <cellStyle name="20% - Accent1 5 2 2 2" xfId="2707" xr:uid="{57608351-5EB5-4F6F-93F5-5294A55B2DFD}"/>
    <cellStyle name="20% - Accent1 5 2 2 2 2" xfId="2708" xr:uid="{9C2FF381-69C7-4E04-846B-23C2BA2BF9D5}"/>
    <cellStyle name="20% - Accent1 5 2 2 2_Exist Trunk Assets - Ferry" xfId="8304" xr:uid="{97BA9A20-D790-4C56-8B2A-974077013D17}"/>
    <cellStyle name="20% - Accent1 5 2 2 3" xfId="2709" xr:uid="{704F0BFD-2CD0-4520-9DB0-86D48F47B1E7}"/>
    <cellStyle name="20% - Accent1 5 2 2 3 2" xfId="2710" xr:uid="{FBDDAE7D-A97C-4F26-ABF1-1DEC07050A79}"/>
    <cellStyle name="20% - Accent1 5 2 2 3_Exist Trunk Assets - Ferry" xfId="8305" xr:uid="{419CC0A0-E2B4-4AD7-AE9F-76B92D3C2B26}"/>
    <cellStyle name="20% - Accent1 5 2 2 4" xfId="2711" xr:uid="{22E8B073-20A6-4F7F-AE9A-8F6CEDB0BF18}"/>
    <cellStyle name="20% - Accent1 5 2 2_Exist Trunk Assets - Ferry" xfId="8303" xr:uid="{76CE2DBA-C5B8-4B52-B86E-247FDFB6644C}"/>
    <cellStyle name="20% - Accent1 5 2 3" xfId="2712" xr:uid="{A97651F9-016F-4F0A-9782-DE4F8A4EA638}"/>
    <cellStyle name="20% - Accent1 5 2 4" xfId="2713" xr:uid="{A10299D4-4BC1-45CE-B26B-FF87D4505501}"/>
    <cellStyle name="20% - Accent1 5 2 5" xfId="2714" xr:uid="{7974DBF5-0D4A-41D7-A482-0849774754B6}"/>
    <cellStyle name="20% - Accent1 5 3" xfId="2715" xr:uid="{B9A756DA-FB4C-4B8F-B3DD-8B302FB00E9B}"/>
    <cellStyle name="20% - Accent1 5 3 2" xfId="2716" xr:uid="{5787DCC1-16DF-4385-A4CF-0E620ECC36FF}"/>
    <cellStyle name="20% - Accent1 5 3_Exist Trunk Assets - Ferry" xfId="8306" xr:uid="{72674F7D-8ABE-42D1-9E3C-405F94C77B93}"/>
    <cellStyle name="20% - Accent1 5 4" xfId="2717" xr:uid="{D76742AB-8242-4B20-B82A-D522FF99B463}"/>
    <cellStyle name="20% - Accent1 5 4 2" xfId="2718" xr:uid="{EAA512BF-AEC2-4F68-A241-E3786E8C273A}"/>
    <cellStyle name="20% - Accent1 5 4_Exist Trunk Assets - Ferry" xfId="8307" xr:uid="{4D640106-02A5-42B8-BBA7-E8116E4131B4}"/>
    <cellStyle name="20% - Accent1 5 5" xfId="2719" xr:uid="{F89CEB6B-A27F-41A7-A731-2AD1DC56FDDC}"/>
    <cellStyle name="20% - Accent1 5_Exist Trunk Assets - Ferry" xfId="8302" xr:uid="{3F2AB0FF-7B73-4754-A550-A16F3F8955D0}"/>
    <cellStyle name="20% - Accent1 6" xfId="63" xr:uid="{2C5B51F4-0927-4EAF-81F8-D7D521B61300}"/>
    <cellStyle name="20% - Accent1 6 2" xfId="2720" xr:uid="{28C629D8-0AFE-45C7-B3EF-62907A1C6420}"/>
    <cellStyle name="20% - Accent1 6 3" xfId="2721" xr:uid="{66B934FA-6ADB-4D18-87C8-6805039E6F2F}"/>
    <cellStyle name="20% - Accent1 6 4" xfId="2722" xr:uid="{3E54D7CD-8250-4998-B8CD-1A7661B74151}"/>
    <cellStyle name="20% - Accent1 7" xfId="64" xr:uid="{69CB70C9-46C9-4867-A91C-C9B99B5B604B}"/>
    <cellStyle name="20% - Accent1 7 2" xfId="2723" xr:uid="{95BA6B70-9807-42A1-9D77-860B560099B1}"/>
    <cellStyle name="20% - Accent1 7 3" xfId="2724" xr:uid="{5FC658C0-DF94-4C07-9684-922E6DA5B051}"/>
    <cellStyle name="20% - Accent1 7 4" xfId="2725" xr:uid="{446AA30F-6698-44BC-AA35-90BF3FB6FFC6}"/>
    <cellStyle name="20% - Accent1 8" xfId="65" xr:uid="{21D0E3FA-D1BA-4FD3-99D6-F93FC406B642}"/>
    <cellStyle name="20% - Accent1 8 2" xfId="2726" xr:uid="{E29206EF-347F-4ABE-A130-52C1C7BEBC4E}"/>
    <cellStyle name="20% - Accent1 8 3" xfId="2727" xr:uid="{71484EB6-C642-4600-8919-E27CEE243845}"/>
    <cellStyle name="20% - Accent1 8 4" xfId="2728" xr:uid="{B94787CC-DD6D-498E-BDF1-BDAA024B5895}"/>
    <cellStyle name="20% - Accent1 9" xfId="66" xr:uid="{26D33133-4161-42A8-ACC3-CAF071DD7112}"/>
    <cellStyle name="20% - Accent1 9 2" xfId="2729" xr:uid="{85A32925-E32F-4071-859D-F9108E5CB043}"/>
    <cellStyle name="20% - Accent1 9 3" xfId="2730" xr:uid="{A9AAF174-DC4A-499F-AB65-BB4F584755D0}"/>
    <cellStyle name="20% - Accent1 9 4" xfId="2731" xr:uid="{0C226323-BBBC-4390-9C15-FD4B0D085B02}"/>
    <cellStyle name="20% - Accent2 10" xfId="67" xr:uid="{0ED946E5-765E-45C8-A15E-41F0B62F2DC8}"/>
    <cellStyle name="20% - Accent2 10 2" xfId="2732" xr:uid="{EEC317B3-2A92-4EE6-9348-303944E14E35}"/>
    <cellStyle name="20% - Accent2 10 3" xfId="2733" xr:uid="{D3B9DADE-D566-4CC1-A7AF-510C0FBEE062}"/>
    <cellStyle name="20% - Accent2 10 4" xfId="2734" xr:uid="{186448C1-888C-4541-AA74-4FC90ACC005C}"/>
    <cellStyle name="20% - Accent2 11" xfId="68" xr:uid="{EF658832-8CBD-4C7C-888A-2B4080136E8A}"/>
    <cellStyle name="20% - Accent2 11 2" xfId="2735" xr:uid="{13B81E6D-62BC-43C8-A4CB-7FCED01A2DFD}"/>
    <cellStyle name="20% - Accent2 11 3" xfId="2736" xr:uid="{B27DA85D-AD29-4FDE-BDF6-48B53075CC92}"/>
    <cellStyle name="20% - Accent2 11 4" xfId="2737" xr:uid="{361BBE6E-E14D-4F69-A2B7-A5CE79D4978B}"/>
    <cellStyle name="20% - Accent2 12" xfId="69" xr:uid="{A58B0483-6544-43ED-8573-125B19453AFC}"/>
    <cellStyle name="20% - Accent2 12 2" xfId="2738" xr:uid="{20CDE764-115B-4279-9E29-DE59AFB88279}"/>
    <cellStyle name="20% - Accent2 12 3" xfId="2739" xr:uid="{BB3BB335-E273-4669-82CF-8B19A3951817}"/>
    <cellStyle name="20% - Accent2 12 4" xfId="2740" xr:uid="{2887C035-FC78-45E9-A494-5ADA3E9836D0}"/>
    <cellStyle name="20% - Accent2 13" xfId="70" xr:uid="{2B55F76C-3D5F-43E0-A111-A94954B1DD4C}"/>
    <cellStyle name="20% - Accent2 13 2" xfId="2741" xr:uid="{D31DFFD3-0E80-4B53-B8E1-EC1E6C889239}"/>
    <cellStyle name="20% - Accent2 13 3" xfId="2742" xr:uid="{03DBCE93-78D7-44AF-8A33-9C180805B848}"/>
    <cellStyle name="20% - Accent2 13 4" xfId="2743" xr:uid="{9218E688-7AFD-49A3-A5B6-6B868F7DAF6A}"/>
    <cellStyle name="20% - Accent2 14" xfId="71" xr:uid="{F76788B2-10B8-4381-BB0E-2CFB042C9A3D}"/>
    <cellStyle name="20% - Accent2 14 2" xfId="2744" xr:uid="{61396C8B-C758-4B0C-A297-5F9611C60085}"/>
    <cellStyle name="20% - Accent2 14 3" xfId="2745" xr:uid="{495B0AC2-0E68-4203-84EA-9CF9B40DAD58}"/>
    <cellStyle name="20% - Accent2 14 4" xfId="2746" xr:uid="{EA205777-F92A-427D-8925-6E044F91144C}"/>
    <cellStyle name="20% - Accent2 15" xfId="72" xr:uid="{ABD19998-C2D7-403A-8293-70AD3825F5EF}"/>
    <cellStyle name="20% - Accent2 15 2" xfId="2747" xr:uid="{982905EA-935A-4FEC-B6DE-065F37CBD6E1}"/>
    <cellStyle name="20% - Accent2 15 3" xfId="2748" xr:uid="{078AB1C0-485A-4C6D-B1A3-51FC42782DAF}"/>
    <cellStyle name="20% - Accent2 15 4" xfId="2749" xr:uid="{F6010B47-D05D-41DA-8818-5329DBCEA190}"/>
    <cellStyle name="20% - Accent2 16" xfId="73" xr:uid="{4541BC3C-4800-43C6-B061-012DEEA7E9DC}"/>
    <cellStyle name="20% - Accent2 16 2" xfId="2750" xr:uid="{6469866E-A2A7-4265-AAEE-2EA758C42500}"/>
    <cellStyle name="20% - Accent2 16 3" xfId="2751" xr:uid="{03A25FB3-B0F3-4E2E-AB71-600D2A55E483}"/>
    <cellStyle name="20% - Accent2 16 4" xfId="2752" xr:uid="{A5842F5E-A244-40BB-BFA8-0FB19E8CCC30}"/>
    <cellStyle name="20% - Accent2 17" xfId="74" xr:uid="{CDD85764-4058-4007-9BFE-4784FF979A2C}"/>
    <cellStyle name="20% - Accent2 17 2" xfId="2753" xr:uid="{F8C7DA78-A3E3-4AD0-B66F-AFB4B8F64DD3}"/>
    <cellStyle name="20% - Accent2 17 3" xfId="2754" xr:uid="{C38DD5A4-E888-436E-9F31-A5D178F39000}"/>
    <cellStyle name="20% - Accent2 17 4" xfId="2755" xr:uid="{BF3069E4-30A6-4B88-9CE9-EB6FAB7F3C9F}"/>
    <cellStyle name="20% - Accent2 18" xfId="75" xr:uid="{D90A20C4-04C2-4833-9C76-21E53EB0275E}"/>
    <cellStyle name="20% - Accent2 18 2" xfId="2756" xr:uid="{87710B70-2B10-4BB5-9250-03BD2F4C39E5}"/>
    <cellStyle name="20% - Accent2 18 3" xfId="2757" xr:uid="{92B7D819-2D8F-4504-BABB-6E742BF5CE7D}"/>
    <cellStyle name="20% - Accent2 18 4" xfId="2758" xr:uid="{10836400-AEF7-4DFB-BF3F-3029C8B90D39}"/>
    <cellStyle name="20% - Accent2 19" xfId="76" xr:uid="{C2B93632-71A3-4C43-AD9E-308AAEF447C8}"/>
    <cellStyle name="20% - Accent2 19 2" xfId="2759" xr:uid="{24FA047D-86E9-48A3-8833-ED77AACA88F3}"/>
    <cellStyle name="20% - Accent2 19 3" xfId="2760" xr:uid="{5CF565DA-78B8-4502-92C0-D873BE356EFF}"/>
    <cellStyle name="20% - Accent2 19 4" xfId="2761" xr:uid="{3652CA0C-F33F-4026-AE31-E5375F3A54A1}"/>
    <cellStyle name="20% - Accent2 2" xfId="77" xr:uid="{00252149-8885-44B7-8F14-EDF0B0B77180}"/>
    <cellStyle name="20% - Accent2 2 2" xfId="78" xr:uid="{CEB88288-E0D2-44D7-B376-24B1D0ABA87E}"/>
    <cellStyle name="20% - Accent2 2 2 2" xfId="2369" xr:uid="{8E9291BF-A7DA-4222-A7ED-A370A74BBA7C}"/>
    <cellStyle name="20% - Accent2 2 2 2 2" xfId="2762" xr:uid="{F944858F-5CD5-4BC5-A41E-8F8458154DB3}"/>
    <cellStyle name="20% - Accent2 2 2 2 3" xfId="2763" xr:uid="{94904318-6AB8-453E-B935-4E4A83AB1570}"/>
    <cellStyle name="20% - Accent2 2 2 2 4" xfId="2764" xr:uid="{4200EFD7-E87B-43FF-A482-CF9BAB67A80C}"/>
    <cellStyle name="20% - Accent2 2 2 3" xfId="2368" xr:uid="{40231AE7-0091-4E6A-9878-D358874D2E83}"/>
    <cellStyle name="20% - Accent2 2 2 3 2" xfId="2765" xr:uid="{3B0045EC-845A-47E1-A375-5D9B73EE9C46}"/>
    <cellStyle name="20% - Accent2 2 2 3 2 2" xfId="2766" xr:uid="{346BD877-96F1-414F-B720-B68B6236B833}"/>
    <cellStyle name="20% - Accent2 2 2 3 2_Exist Trunk Assets - Ferry" xfId="8310" xr:uid="{FA06DB8F-5FA3-4979-9EBD-6437DDA781CB}"/>
    <cellStyle name="20% - Accent2 2 2 3 3" xfId="2767" xr:uid="{37399277-5E28-44D5-BF8D-EF7F2A679850}"/>
    <cellStyle name="20% - Accent2 2 2 3 3 2" xfId="2768" xr:uid="{FD34FEF8-CE26-4345-A4DC-4DFA8AD4541B}"/>
    <cellStyle name="20% - Accent2 2 2 3 3_Exist Trunk Assets - Ferry" xfId="8311" xr:uid="{6DC162D1-C26E-4F89-9C60-BB73B2B3409E}"/>
    <cellStyle name="20% - Accent2 2 2 3 4" xfId="2769" xr:uid="{C062A539-7A32-4821-ABFA-FFE1403EAABE}"/>
    <cellStyle name="20% - Accent2 2 2 3_Exist Trunk Assets - Ferry" xfId="8309" xr:uid="{D7C98656-CFF6-4354-9C2D-A3E67F63B67B}"/>
    <cellStyle name="20% - Accent2 2 2 4" xfId="2770" xr:uid="{18FED1F7-5EF2-4959-B25E-4DEE31D4CDFC}"/>
    <cellStyle name="20% - Accent2 2 2 5" xfId="2771" xr:uid="{8A2C30A0-7B2D-427E-819D-D27E7E71665B}"/>
    <cellStyle name="20% - Accent2 2 2 6" xfId="2772" xr:uid="{005EF86A-2F60-45A6-8244-3AD1414A6952}"/>
    <cellStyle name="20% - Accent2 2 3" xfId="79" xr:uid="{857A636B-FCF0-4275-8910-8C322314FD09}"/>
    <cellStyle name="20% - Accent2 2 3 2" xfId="2773" xr:uid="{C633B06C-688C-4F0C-B1BE-7F37CE64AC6C}"/>
    <cellStyle name="20% - Accent2 2 3 2 2" xfId="2774" xr:uid="{E6D223CB-F073-4419-8509-FBC801B1B23C}"/>
    <cellStyle name="20% - Accent2 2 3 2_Exist Trunk Assets - Ferry" xfId="8313" xr:uid="{83E1BEE3-33F2-4A37-BF94-CC30CB885910}"/>
    <cellStyle name="20% - Accent2 2 3 3" xfId="2775" xr:uid="{033485B1-AE8A-4F97-85A3-1EE28C2228D4}"/>
    <cellStyle name="20% - Accent2 2 3 3 2" xfId="2776" xr:uid="{8EA43089-82FF-4C9A-ACDD-EAB280D855BC}"/>
    <cellStyle name="20% - Accent2 2 3 3_Exist Trunk Assets - Ferry" xfId="8314" xr:uid="{2B10FB5B-E9A3-4594-940B-230C5739DBB5}"/>
    <cellStyle name="20% - Accent2 2 3 4" xfId="2777" xr:uid="{A64B5136-C551-4A59-980F-21486741E87B}"/>
    <cellStyle name="20% - Accent2 2 3_Exist Trunk Assets - Ferry" xfId="8312" xr:uid="{0AAB9B52-3708-4762-AB97-0849E66A6A26}"/>
    <cellStyle name="20% - Accent2 2 4" xfId="2778" xr:uid="{FE595DD3-F45E-4B17-BE70-18FB80124D16}"/>
    <cellStyle name="20% - Accent2 2 4 2" xfId="2779" xr:uid="{5240DC02-5265-4E83-81D2-A0B1ADD453E8}"/>
    <cellStyle name="20% - Accent2 2 4_Exist Trunk Assets - Ferry" xfId="8315" xr:uid="{1396D05D-8B0C-42FF-AC45-0826C72801EF}"/>
    <cellStyle name="20% - Accent2 2 5" xfId="2780" xr:uid="{DF2D56EE-4351-44A2-BF47-E24018FB1816}"/>
    <cellStyle name="20% - Accent2 2 5 2" xfId="2781" xr:uid="{94249592-7048-4676-9240-D611545F8FCD}"/>
    <cellStyle name="20% - Accent2 2 5_Exist Trunk Assets - Ferry" xfId="8316" xr:uid="{8E1ACDC5-AE5A-458A-9013-2588B67A4307}"/>
    <cellStyle name="20% - Accent2 2 6" xfId="2782" xr:uid="{543AF116-B3D9-4CDE-ADD3-80939DD5BCB0}"/>
    <cellStyle name="20% - Accent2 2 7" xfId="8126" xr:uid="{7E8C15C9-5622-4683-8006-3E13E68F5560}"/>
    <cellStyle name="20% - Accent2 2_Exist Trunk Assets - Ferry" xfId="8308" xr:uid="{5B61E562-50B1-4527-BC4D-D36B6546CD74}"/>
    <cellStyle name="20% - Accent2 20" xfId="80" xr:uid="{EE67D272-140B-4423-B276-F0246CF6AD03}"/>
    <cellStyle name="20% - Accent2 20 2" xfId="2783" xr:uid="{FC32DA54-FD97-4BEA-826A-C04E54BB28FA}"/>
    <cellStyle name="20% - Accent2 20 3" xfId="2784" xr:uid="{B9D7309C-BA74-4DBD-974F-3A7D9AC67B23}"/>
    <cellStyle name="20% - Accent2 20 4" xfId="2785" xr:uid="{E45F0D24-97C9-436B-9901-33A69CDFCA69}"/>
    <cellStyle name="20% - Accent2 21" xfId="81" xr:uid="{26A6AA10-AF47-413F-A150-059A307AA24C}"/>
    <cellStyle name="20% - Accent2 21 2" xfId="2786" xr:uid="{99F242D1-0BB5-4DB6-AE8A-E5C83313238A}"/>
    <cellStyle name="20% - Accent2 21 3" xfId="2787" xr:uid="{5B60F741-81AB-42D7-9917-64FC23639A2C}"/>
    <cellStyle name="20% - Accent2 21 4" xfId="2788" xr:uid="{8FC3183B-4ADA-4841-BB1B-0BD6B2D6B699}"/>
    <cellStyle name="20% - Accent2 22" xfId="82" xr:uid="{20D9EB0C-0137-4413-842F-C411EA551A63}"/>
    <cellStyle name="20% - Accent2 22 2" xfId="2789" xr:uid="{37861817-27BB-4707-BDC1-88B32F61E4D1}"/>
    <cellStyle name="20% - Accent2 22 3" xfId="2790" xr:uid="{FA097F28-8069-44C5-8C2F-F36332F73E5B}"/>
    <cellStyle name="20% - Accent2 22 4" xfId="2791" xr:uid="{223799CB-D45F-4CA8-B6D4-E882C102C28D}"/>
    <cellStyle name="20% - Accent2 23" xfId="83" xr:uid="{94738E48-E937-4274-BB7A-8822BEB8ADF6}"/>
    <cellStyle name="20% - Accent2 23 2" xfId="2792" xr:uid="{D8A4C1C5-A8AB-4B6D-8071-5441BA1425C7}"/>
    <cellStyle name="20% - Accent2 23 3" xfId="2793" xr:uid="{F11B3318-AEAD-4662-88FA-CE857DA865A5}"/>
    <cellStyle name="20% - Accent2 23 4" xfId="2794" xr:uid="{BC408028-B5C6-47DE-8BC7-49F049A070F8}"/>
    <cellStyle name="20% - Accent2 24" xfId="84" xr:uid="{B1FF1997-789B-48CF-A9BD-3A9104B6C85B}"/>
    <cellStyle name="20% - Accent2 24 2" xfId="2795" xr:uid="{C27EFEA4-3D2F-4BA7-B295-AA7F77F3078B}"/>
    <cellStyle name="20% - Accent2 24 3" xfId="2796" xr:uid="{BC364C69-E057-4E24-87A6-2A6D571ABD8A}"/>
    <cellStyle name="20% - Accent2 24 4" xfId="2797" xr:uid="{78289089-BCE6-456D-A6E6-F8653E328FE1}"/>
    <cellStyle name="20% - Accent2 25" xfId="85" xr:uid="{611004AE-FC90-49D4-9951-01FDFE1EDBD8}"/>
    <cellStyle name="20% - Accent2 25 2" xfId="2798" xr:uid="{0607294A-0FAD-43B0-8E0E-2AC4C0789D7F}"/>
    <cellStyle name="20% - Accent2 25 3" xfId="2799" xr:uid="{BD70B1E4-87EE-402F-B202-4B0293721E81}"/>
    <cellStyle name="20% - Accent2 25 4" xfId="2800" xr:uid="{20B6837F-F047-439C-8E54-7A6294EB59E8}"/>
    <cellStyle name="20% - Accent2 26" xfId="86" xr:uid="{0AA4477A-D56A-4611-9772-ADC5359745A7}"/>
    <cellStyle name="20% - Accent2 26 2" xfId="2801" xr:uid="{CF0BA619-7509-4B26-8C96-CCAB3BAEFB24}"/>
    <cellStyle name="20% - Accent2 26 3" xfId="2802" xr:uid="{4200EE17-A6D4-4072-AD84-08048F14473D}"/>
    <cellStyle name="20% - Accent2 26 4" xfId="2803" xr:uid="{3DD096FC-CEF3-4EEB-9554-46E7050973B8}"/>
    <cellStyle name="20% - Accent2 27" xfId="87" xr:uid="{C5F6C360-5A01-4514-940A-CD5E3D49CCF6}"/>
    <cellStyle name="20% - Accent2 27 2" xfId="2804" xr:uid="{A3CEF4B7-E868-4735-BFCD-2BF8F5A826E8}"/>
    <cellStyle name="20% - Accent2 27 3" xfId="2805" xr:uid="{BED1020F-1BF7-4BB6-8EE3-83C7998FB199}"/>
    <cellStyle name="20% - Accent2 27 4" xfId="2806" xr:uid="{B081B6DD-F72F-4570-9363-32C237E78C76}"/>
    <cellStyle name="20% - Accent2 28" xfId="88" xr:uid="{BDB5747B-09F9-4A11-8525-FF6EA95EFBC5}"/>
    <cellStyle name="20% - Accent2 28 2" xfId="2807" xr:uid="{0F0AE91E-C2FC-42E7-B758-2840F1504696}"/>
    <cellStyle name="20% - Accent2 28 3" xfId="2808" xr:uid="{FFA9634D-7562-4175-BA59-ABC850C7E0F0}"/>
    <cellStyle name="20% - Accent2 28 4" xfId="2809" xr:uid="{0D9A0E5A-B99B-4A56-821A-E19E4CAE7594}"/>
    <cellStyle name="20% - Accent2 29" xfId="89" xr:uid="{A225EF2C-4982-4D21-8B21-DF0D994D5406}"/>
    <cellStyle name="20% - Accent2 29 2" xfId="2810" xr:uid="{8DB2336E-4953-45B6-A9B4-06BAAF627680}"/>
    <cellStyle name="20% - Accent2 29 3" xfId="2811" xr:uid="{2C3BB823-E654-4218-AEE8-F667CB889F52}"/>
    <cellStyle name="20% - Accent2 29 4" xfId="2812" xr:uid="{BE3BD9CF-1C95-4214-9EDD-D1C7CE29FFC8}"/>
    <cellStyle name="20% - Accent2 3" xfId="90" xr:uid="{F041B454-D791-4B18-BD55-F024E49BFE5C}"/>
    <cellStyle name="20% - Accent2 3 2" xfId="91" xr:uid="{CFBC8B20-7485-4ABF-BBC3-8030F91022C3}"/>
    <cellStyle name="20% - Accent2 3 2 2" xfId="2813" xr:uid="{EAC475B5-C07A-4679-BC73-0315E19F454E}"/>
    <cellStyle name="20% - Accent2 3 2 2 2" xfId="2814" xr:uid="{BB43A0A0-6CB0-4276-9EFE-E4151FE55255}"/>
    <cellStyle name="20% - Accent2 3 2 2_Exist Trunk Assets - Ferry" xfId="8319" xr:uid="{C22EC6E3-1E1A-43A7-94E7-3E595B5453CF}"/>
    <cellStyle name="20% - Accent2 3 2 3" xfId="2815" xr:uid="{60762D1A-5F9E-4960-91CD-034571815E73}"/>
    <cellStyle name="20% - Accent2 3 2 3 2" xfId="2816" xr:uid="{52BDCDE3-3EA6-4A13-B3F0-D700749EAF40}"/>
    <cellStyle name="20% - Accent2 3 2 3_Exist Trunk Assets - Ferry" xfId="8320" xr:uid="{D0250B0B-3C77-4980-808E-BCE1F278EF57}"/>
    <cellStyle name="20% - Accent2 3 2 4" xfId="2817" xr:uid="{DB13FADF-AD98-47F4-8B99-5E6119E5A562}"/>
    <cellStyle name="20% - Accent2 3 2_Exist Trunk Assets - Ferry" xfId="8318" xr:uid="{BCC8DF1F-75B3-4E0B-B83F-8868878706E9}"/>
    <cellStyle name="20% - Accent2 3 3" xfId="1836" xr:uid="{B64F1C80-3F7D-4B62-B6B3-D7F376019F97}"/>
    <cellStyle name="20% - Accent2 3 3 2" xfId="2818" xr:uid="{468E8D41-38BC-444D-940A-1311497F60EB}"/>
    <cellStyle name="20% - Accent2 3 3 3" xfId="2819" xr:uid="{0EFE1935-7053-4F78-95A0-5A81135892CA}"/>
    <cellStyle name="20% - Accent2 3 3 4" xfId="2820" xr:uid="{3E30FC53-8E22-4420-A081-D2698CAA7E6C}"/>
    <cellStyle name="20% - Accent2 3 4" xfId="2821" xr:uid="{BC620833-34B4-4183-AA85-DF503A7CEEFB}"/>
    <cellStyle name="20% - Accent2 3 4 2" xfId="2822" xr:uid="{96BE3A7C-9631-460C-B01A-63A329AEDA80}"/>
    <cellStyle name="20% - Accent2 3 4_Exist Trunk Assets - Ferry" xfId="8321" xr:uid="{8643971F-548E-43FB-8019-5CBA9045CE5D}"/>
    <cellStyle name="20% - Accent2 3 5" xfId="2823" xr:uid="{AC005A70-2E3E-477B-A65D-D1867DC7F82A}"/>
    <cellStyle name="20% - Accent2 3 5 2" xfId="2824" xr:uid="{414B0C9A-C619-403D-ACD8-65DB7BF47E28}"/>
    <cellStyle name="20% - Accent2 3 5_Exist Trunk Assets - Ferry" xfId="8322" xr:uid="{37FE7701-766C-4D49-9405-6508BD8BF23E}"/>
    <cellStyle name="20% - Accent2 3 6" xfId="2825" xr:uid="{6A017564-2F7F-4B1E-A871-0F7A45E7A6E0}"/>
    <cellStyle name="20% - Accent2 3_Exist Trunk Assets - Ferry" xfId="8317" xr:uid="{7253EAAC-F343-4CDC-90F3-62BF1C756DA5}"/>
    <cellStyle name="20% - Accent2 30" xfId="92" xr:uid="{698AEA2F-6EC3-4895-9C96-9E59364D9A6D}"/>
    <cellStyle name="20% - Accent2 30 2" xfId="2826" xr:uid="{8C18B05A-F52E-4355-BBC8-81000B952A82}"/>
    <cellStyle name="20% - Accent2 30 3" xfId="2827" xr:uid="{3E0780A3-4A7E-493A-8D55-929543FE9088}"/>
    <cellStyle name="20% - Accent2 30 4" xfId="2828" xr:uid="{58548245-6D50-4B51-BEB7-BA4FF02BEE8A}"/>
    <cellStyle name="20% - Accent2 31" xfId="93" xr:uid="{FC37EA58-5917-457B-A645-F8C5C283C556}"/>
    <cellStyle name="20% - Accent2 31 2" xfId="2829" xr:uid="{44F27FCE-3A6A-451E-ADA9-EE111D3DFE53}"/>
    <cellStyle name="20% - Accent2 31 3" xfId="2830" xr:uid="{4A7AACDA-75B9-4A0E-8239-B15774AB0C0E}"/>
    <cellStyle name="20% - Accent2 31 4" xfId="2831" xr:uid="{C1E0CE4B-E861-4485-BB65-8B58FDC8C1A5}"/>
    <cellStyle name="20% - Accent2 32" xfId="94" xr:uid="{3E411CFF-391E-4786-8137-2B1150B1F2F9}"/>
    <cellStyle name="20% - Accent2 32 2" xfId="2832" xr:uid="{42BC6224-A415-4BB3-AF65-B6F3B3115FA1}"/>
    <cellStyle name="20% - Accent2 32 3" xfId="2833" xr:uid="{521869CE-740A-4210-8F23-B12C9E995071}"/>
    <cellStyle name="20% - Accent2 32 4" xfId="2834" xr:uid="{89B873BF-FABA-4113-9066-46CC735CB896}"/>
    <cellStyle name="20% - Accent2 33" xfId="95" xr:uid="{52C97C1F-04D1-4C4C-B08F-B3114D7DFEDD}"/>
    <cellStyle name="20% - Accent2 33 2" xfId="2835" xr:uid="{029F5411-4C37-433A-B678-C56A6D979979}"/>
    <cellStyle name="20% - Accent2 33 3" xfId="2836" xr:uid="{3776E9A6-EE8A-4B9E-BA62-BFCDA35762AB}"/>
    <cellStyle name="20% - Accent2 33 4" xfId="2837" xr:uid="{7CD028D9-91BE-4FFB-98E5-94C86938B1BA}"/>
    <cellStyle name="20% - Accent2 34" xfId="96" xr:uid="{B90422E6-D710-4AD3-9932-230D4253274B}"/>
    <cellStyle name="20% - Accent2 34 2" xfId="2838" xr:uid="{417D9161-BAD0-421B-B2EC-2B91A248F1C2}"/>
    <cellStyle name="20% - Accent2 34 3" xfId="2839" xr:uid="{458CBB72-7FE1-4C39-B4FB-A3E06F9F32B4}"/>
    <cellStyle name="20% - Accent2 34 4" xfId="2840" xr:uid="{C93DEB9B-D706-4C3C-8DE4-61BC26278126}"/>
    <cellStyle name="20% - Accent2 35" xfId="97" xr:uid="{84C738E6-5C8E-4C6B-911A-82E952D16768}"/>
    <cellStyle name="20% - Accent2 35 2" xfId="2841" xr:uid="{09D2FD8B-4F4F-4CB5-A6E6-E5A2C35F928F}"/>
    <cellStyle name="20% - Accent2 35 3" xfId="2842" xr:uid="{0EEB6558-FB9C-4754-9567-FD6D9933D280}"/>
    <cellStyle name="20% - Accent2 35 4" xfId="2843" xr:uid="{51F7574D-3722-4C09-B030-B959B0345B07}"/>
    <cellStyle name="20% - Accent2 36" xfId="98" xr:uid="{B9EE3E47-B797-4BB3-90D2-3C1063D3DE6C}"/>
    <cellStyle name="20% - Accent2 36 2" xfId="2844" xr:uid="{27082D03-C39E-49A4-8C0A-292337FA92EE}"/>
    <cellStyle name="20% - Accent2 36 3" xfId="2845" xr:uid="{7FF43EA9-8888-402F-8E1E-68BFDF8D04A8}"/>
    <cellStyle name="20% - Accent2 36 4" xfId="2846" xr:uid="{7ED8FAA6-EEBA-4D6F-85F6-642D1D694D8A}"/>
    <cellStyle name="20% - Accent2 37" xfId="99" xr:uid="{7AEA366D-22AE-42CE-B9A1-0C862D87FF73}"/>
    <cellStyle name="20% - Accent2 37 2" xfId="2847" xr:uid="{3801DD98-76C0-4CD2-9D6F-119CA68ABA83}"/>
    <cellStyle name="20% - Accent2 37 3" xfId="2848" xr:uid="{3E5B2BD6-77F6-4F07-84D3-048EE278859F}"/>
    <cellStyle name="20% - Accent2 37 4" xfId="2849" xr:uid="{2A624CC1-7D2F-462B-A102-F0A12136FD61}"/>
    <cellStyle name="20% - Accent2 38" xfId="100" xr:uid="{3EE83DBB-4AE1-4CFD-BAE7-2C1DEFF77BFB}"/>
    <cellStyle name="20% - Accent2 38 2" xfId="2850" xr:uid="{F77C4049-E34C-4F0D-8D1F-BE4DEBD7D3B5}"/>
    <cellStyle name="20% - Accent2 38 3" xfId="2851" xr:uid="{31B05767-687D-448C-813E-18E647DB2745}"/>
    <cellStyle name="20% - Accent2 38 4" xfId="2852" xr:uid="{DC957227-FB8A-4415-9F9B-70BEF63BF66B}"/>
    <cellStyle name="20% - Accent2 39" xfId="101" xr:uid="{C87CD7CB-4C95-4E02-ADEF-07C683F27F8A}"/>
    <cellStyle name="20% - Accent2 39 2" xfId="2853" xr:uid="{A83BC6FF-144E-44D0-A26A-51BBD19DB575}"/>
    <cellStyle name="20% - Accent2 39 3" xfId="2854" xr:uid="{F8B470EB-9F54-4A0B-824E-13A98BF70031}"/>
    <cellStyle name="20% - Accent2 39 4" xfId="2855" xr:uid="{2F66BCEF-6940-4009-B672-BEC861A36702}"/>
    <cellStyle name="20% - Accent2 4" xfId="102" xr:uid="{4E5BFA83-EE3D-48A3-A9E8-B9BF0A9955DC}"/>
    <cellStyle name="20% - Accent2 4 2" xfId="103" xr:uid="{2EC30E17-2A5F-4469-B257-CFAAEA0A2894}"/>
    <cellStyle name="20% - Accent2 4 2 2" xfId="2856" xr:uid="{1F92B16C-EE36-4E63-BAA1-C7EC224FCF30}"/>
    <cellStyle name="20% - Accent2 4 2 2 2" xfId="2857" xr:uid="{67561354-8D10-4D2F-AFD9-80974870629D}"/>
    <cellStyle name="20% - Accent2 4 2 2_Exist Trunk Assets - Ferry" xfId="8325" xr:uid="{48F99D74-5BFD-4AF5-AFAF-5C0D8C5D7E2D}"/>
    <cellStyle name="20% - Accent2 4 2 3" xfId="2858" xr:uid="{263B7577-3966-4DED-9725-8ECAD4CE029C}"/>
    <cellStyle name="20% - Accent2 4 2 3 2" xfId="2859" xr:uid="{6421B028-97DA-4CC3-B20F-E4CE89DA8233}"/>
    <cellStyle name="20% - Accent2 4 2 3_Exist Trunk Assets - Ferry" xfId="8326" xr:uid="{5F175647-4F3E-4838-AC5F-83537C4E9CDC}"/>
    <cellStyle name="20% - Accent2 4 2 4" xfId="2860" xr:uid="{2A0B9D17-08D4-4E02-BF5C-BCA6B22BBB3B}"/>
    <cellStyle name="20% - Accent2 4 2_Exist Trunk Assets - Ferry" xfId="8324" xr:uid="{153E9F50-FE31-47F0-8003-323AA05EF164}"/>
    <cellStyle name="20% - Accent2 4 3" xfId="1837" xr:uid="{31A541C5-443A-407F-A24A-85AAA6FEFEA6}"/>
    <cellStyle name="20% - Accent2 4 3 2" xfId="2861" xr:uid="{0555D2A2-FA8F-4F00-A2BB-B9488011A266}"/>
    <cellStyle name="20% - Accent2 4 3 3" xfId="2862" xr:uid="{16C5B7C2-1C65-414F-B19F-B74F56F7CCDC}"/>
    <cellStyle name="20% - Accent2 4 3 4" xfId="2863" xr:uid="{AA39E596-6955-46F0-A2D2-8667086E9967}"/>
    <cellStyle name="20% - Accent2 4 4" xfId="2864" xr:uid="{817AB273-A9D1-420C-9AB2-28D2116BE557}"/>
    <cellStyle name="20% - Accent2 4 4 2" xfId="2865" xr:uid="{DD77A8B5-8A10-49C5-B50B-2C6CACAC7778}"/>
    <cellStyle name="20% - Accent2 4 4_Exist Trunk Assets - Ferry" xfId="8327" xr:uid="{23FCC59B-50A6-4C22-A350-44974B30B71D}"/>
    <cellStyle name="20% - Accent2 4 5" xfId="2866" xr:uid="{934649BB-2245-4DC7-AFA0-7A3FDAB39911}"/>
    <cellStyle name="20% - Accent2 4 5 2" xfId="2867" xr:uid="{4042D203-BA35-4F3A-B59A-1A8077F559CC}"/>
    <cellStyle name="20% - Accent2 4 5_Exist Trunk Assets - Ferry" xfId="8328" xr:uid="{14D3B231-7DB1-4116-8C55-2523A53CBA7B}"/>
    <cellStyle name="20% - Accent2 4 6" xfId="2868" xr:uid="{AAF1088C-7B40-4005-B7F4-1FAA19E45550}"/>
    <cellStyle name="20% - Accent2 4_Exist Trunk Assets - Ferry" xfId="8323" xr:uid="{DCCE68CC-E4B7-4DB3-A09F-3F234194EBD8}"/>
    <cellStyle name="20% - Accent2 40" xfId="104" xr:uid="{DA40C7A2-EC39-4449-8038-6B655B7D7FDD}"/>
    <cellStyle name="20% - Accent2 40 2" xfId="2869" xr:uid="{D791B240-832E-416F-9309-3A4599CFA523}"/>
    <cellStyle name="20% - Accent2 40 3" xfId="2870" xr:uid="{8ABC7129-B12A-4B12-A144-AEA3B2B87641}"/>
    <cellStyle name="20% - Accent2 40 4" xfId="2871" xr:uid="{4693F373-0429-4393-8354-6FA7E70DAF73}"/>
    <cellStyle name="20% - Accent2 5" xfId="105" xr:uid="{972F2C2B-C0EB-40E2-9A0F-3B812BA8E216}"/>
    <cellStyle name="20% - Accent2 5 2" xfId="1835" xr:uid="{7547BC38-746B-4763-8567-1696F8904C3C}"/>
    <cellStyle name="20% - Accent2 5 2 2" xfId="2370" xr:uid="{4003283A-52F0-4555-B5A3-49FCAB2C928C}"/>
    <cellStyle name="20% - Accent2 5 2 2 2" xfId="2872" xr:uid="{550D5369-59DD-4AD2-9CEF-7830AD3AC1EB}"/>
    <cellStyle name="20% - Accent2 5 2 2 2 2" xfId="2873" xr:uid="{FF772E17-6033-40BD-9131-A68CAD527C6D}"/>
    <cellStyle name="20% - Accent2 5 2 2 2_Exist Trunk Assets - Ferry" xfId="8331" xr:uid="{62EF586F-3E0A-4617-B2C3-D4B0EB71E539}"/>
    <cellStyle name="20% - Accent2 5 2 2 3" xfId="2874" xr:uid="{FEB79EAF-9E78-463B-8D4E-ED1E9A29A857}"/>
    <cellStyle name="20% - Accent2 5 2 2 3 2" xfId="2875" xr:uid="{41C73000-E42B-4395-84E7-BA2A47752192}"/>
    <cellStyle name="20% - Accent2 5 2 2 3_Exist Trunk Assets - Ferry" xfId="8332" xr:uid="{57F956BD-7B8A-49F2-B000-8486A3989641}"/>
    <cellStyle name="20% - Accent2 5 2 2 4" xfId="2876" xr:uid="{3EF30007-03A3-40C5-9D5F-B0F6B4F8CF61}"/>
    <cellStyle name="20% - Accent2 5 2 2_Exist Trunk Assets - Ferry" xfId="8330" xr:uid="{6AE46562-40EA-4A9A-BF42-9187FF3B8204}"/>
    <cellStyle name="20% - Accent2 5 2 3" xfId="2877" xr:uid="{A08DFC94-0DFA-441F-82B0-2AB585B9E358}"/>
    <cellStyle name="20% - Accent2 5 2 4" xfId="2878" xr:uid="{EF8790DE-5250-44FA-AEBD-57B4CDD5C1F1}"/>
    <cellStyle name="20% - Accent2 5 2 5" xfId="2879" xr:uid="{A0C43D26-31C9-4304-87C4-B9BD244D77E7}"/>
    <cellStyle name="20% - Accent2 5 3" xfId="2880" xr:uid="{EEC118CB-DB55-4249-9DB2-DBF7FD361960}"/>
    <cellStyle name="20% - Accent2 5 3 2" xfId="2881" xr:uid="{1ECD651B-5E29-46FE-B6BD-3DBA474F5682}"/>
    <cellStyle name="20% - Accent2 5 3_Exist Trunk Assets - Ferry" xfId="8333" xr:uid="{0184C6DF-6054-4B49-8416-65FD520BADDE}"/>
    <cellStyle name="20% - Accent2 5 4" xfId="2882" xr:uid="{2D130C99-A261-4021-82F3-114C491CEE52}"/>
    <cellStyle name="20% - Accent2 5 4 2" xfId="2883" xr:uid="{A71FA118-71B8-4EF7-8DD9-0EED3084FD4B}"/>
    <cellStyle name="20% - Accent2 5 4_Exist Trunk Assets - Ferry" xfId="8334" xr:uid="{3E6FA47D-63AD-4E82-88B7-C08B983E43E6}"/>
    <cellStyle name="20% - Accent2 5 5" xfId="2884" xr:uid="{C1B5BE7F-B617-4485-8484-6072F099059C}"/>
    <cellStyle name="20% - Accent2 5_Exist Trunk Assets - Ferry" xfId="8329" xr:uid="{19C51C0E-FD3D-4F5F-A635-B1FC51555873}"/>
    <cellStyle name="20% - Accent2 6" xfId="106" xr:uid="{830481FC-9475-4B56-AD5D-E87EC971DCBC}"/>
    <cellStyle name="20% - Accent2 6 2" xfId="2885" xr:uid="{A057608B-77F9-414A-A569-557C0456D7E5}"/>
    <cellStyle name="20% - Accent2 6 3" xfId="2886" xr:uid="{E52C0F08-4914-4EFD-8A35-33130B619954}"/>
    <cellStyle name="20% - Accent2 6 4" xfId="2887" xr:uid="{372743AC-6289-4B92-88F6-E12F597BAC4E}"/>
    <cellStyle name="20% - Accent2 7" xfId="107" xr:uid="{81A02693-11A4-40D1-ADDE-92FABE7FDB88}"/>
    <cellStyle name="20% - Accent2 7 2" xfId="2888" xr:uid="{35232732-9A89-4198-B3E7-8F60BBF968D6}"/>
    <cellStyle name="20% - Accent2 7 3" xfId="2889" xr:uid="{A4107DEE-AC59-459A-826B-D67771C43CCA}"/>
    <cellStyle name="20% - Accent2 7 4" xfId="2890" xr:uid="{EFB66C3E-151D-4BED-B173-EA128710FEA3}"/>
    <cellStyle name="20% - Accent2 8" xfId="108" xr:uid="{03851096-6C92-48C4-B6F7-95011110291D}"/>
    <cellStyle name="20% - Accent2 8 2" xfId="2891" xr:uid="{BB28EE46-BA41-4527-A760-EAC879D85780}"/>
    <cellStyle name="20% - Accent2 8 3" xfId="2892" xr:uid="{0F6B31C3-55B1-4247-B8B2-AB277979ECF1}"/>
    <cellStyle name="20% - Accent2 8 4" xfId="2893" xr:uid="{2C63D54A-76DA-4BE5-91D6-3EA886474869}"/>
    <cellStyle name="20% - Accent2 9" xfId="109" xr:uid="{E9F2B3DC-05D5-47DD-8D07-116A06B66DCE}"/>
    <cellStyle name="20% - Accent2 9 2" xfId="2894" xr:uid="{A0B2439E-FD3F-4FE1-BF5A-00A5C4152AB5}"/>
    <cellStyle name="20% - Accent2 9 3" xfId="2895" xr:uid="{6A19985A-A998-4FCD-965A-8F9BEAFA9786}"/>
    <cellStyle name="20% - Accent2 9 4" xfId="2896" xr:uid="{28E2A4F3-BA9E-4AAC-8078-7458BAC4D092}"/>
    <cellStyle name="20% - Accent3 10" xfId="110" xr:uid="{128E81AD-4473-4178-80F3-96EFC750EF04}"/>
    <cellStyle name="20% - Accent3 10 2" xfId="2897" xr:uid="{CE7CF13C-E005-4EA7-8508-0329CAB4A064}"/>
    <cellStyle name="20% - Accent3 10 3" xfId="2898" xr:uid="{D7E5FDC2-D29C-4C55-B10F-87B8382399A6}"/>
    <cellStyle name="20% - Accent3 10 4" xfId="2899" xr:uid="{37DEECC1-2398-40B2-882B-F122FDFADC40}"/>
    <cellStyle name="20% - Accent3 11" xfId="111" xr:uid="{EBEF3E6D-1317-447E-8237-07612B15E2F8}"/>
    <cellStyle name="20% - Accent3 11 2" xfId="2900" xr:uid="{7D0AC25D-0B6D-4A17-8B63-DDFE6320840B}"/>
    <cellStyle name="20% - Accent3 11 3" xfId="2901" xr:uid="{ED8F7FC8-46C7-4937-898C-1C5D3F5753A3}"/>
    <cellStyle name="20% - Accent3 11 4" xfId="2902" xr:uid="{0B8321FB-88FA-401D-8339-695B9EBA2736}"/>
    <cellStyle name="20% - Accent3 12" xfId="112" xr:uid="{65D66447-FE95-4F2A-8127-8831707DEF31}"/>
    <cellStyle name="20% - Accent3 12 2" xfId="2903" xr:uid="{A1C681C0-42FC-401B-BA68-268F6BA5CDA4}"/>
    <cellStyle name="20% - Accent3 12 3" xfId="2904" xr:uid="{CACB6BD7-1673-4BEB-84E3-8A26D282FD66}"/>
    <cellStyle name="20% - Accent3 12 4" xfId="2905" xr:uid="{6D5F18A2-DBB7-4042-A695-0FA111E6498D}"/>
    <cellStyle name="20% - Accent3 13" xfId="113" xr:uid="{55DEE76F-8035-47AC-87DA-BA75E7040563}"/>
    <cellStyle name="20% - Accent3 13 2" xfId="2906" xr:uid="{0FFC1468-930D-49A2-A808-7E7AA11E985E}"/>
    <cellStyle name="20% - Accent3 13 3" xfId="2907" xr:uid="{2DF6B5B3-0122-4F54-B880-C23ECA61D7F5}"/>
    <cellStyle name="20% - Accent3 13 4" xfId="2908" xr:uid="{3C0F1F4A-CCBE-4AF3-8D7B-CC7C1855F4CD}"/>
    <cellStyle name="20% - Accent3 14" xfId="114" xr:uid="{A744C825-7AFE-4464-B245-5B4406E734BC}"/>
    <cellStyle name="20% - Accent3 14 2" xfId="2909" xr:uid="{040DE882-7C92-4454-A53C-2C5A61BC8F25}"/>
    <cellStyle name="20% - Accent3 14 3" xfId="2910" xr:uid="{373FB257-F865-4468-BFED-BAECFD5F15DF}"/>
    <cellStyle name="20% - Accent3 14 4" xfId="2911" xr:uid="{4317B6BC-E6D9-4C8F-839A-8388B0917640}"/>
    <cellStyle name="20% - Accent3 15" xfId="115" xr:uid="{AB116F4F-BECD-4AFF-8739-FA51C41AEDE0}"/>
    <cellStyle name="20% - Accent3 15 2" xfId="2912" xr:uid="{BF57A813-37D9-4557-AE99-5B8B2E5A85FA}"/>
    <cellStyle name="20% - Accent3 15 3" xfId="2913" xr:uid="{EC46934D-08FA-482B-ACD6-CF925ECA0E73}"/>
    <cellStyle name="20% - Accent3 15 4" xfId="2914" xr:uid="{B7BECCAC-0B57-4E15-A4CE-5CF557A52C2A}"/>
    <cellStyle name="20% - Accent3 16" xfId="116" xr:uid="{ECC3FBD5-BB95-4105-AFCF-BC93FF0F0F8F}"/>
    <cellStyle name="20% - Accent3 16 2" xfId="2915" xr:uid="{B5463C2E-88EB-483F-A2F7-38539F74BBEE}"/>
    <cellStyle name="20% - Accent3 16 3" xfId="2916" xr:uid="{15CB49A3-B627-46D0-9B99-F7D12AC0F314}"/>
    <cellStyle name="20% - Accent3 16 4" xfId="2917" xr:uid="{364B542C-387C-459D-B15D-81F08EF79926}"/>
    <cellStyle name="20% - Accent3 17" xfId="117" xr:uid="{E04EDD68-7AE4-4923-8C01-0149348CEF01}"/>
    <cellStyle name="20% - Accent3 17 2" xfId="2918" xr:uid="{D000FAE2-B896-4971-9D6F-789A8731C094}"/>
    <cellStyle name="20% - Accent3 17 3" xfId="2919" xr:uid="{742CE68A-D913-4E77-802D-9A9E6C02F70D}"/>
    <cellStyle name="20% - Accent3 17 4" xfId="2920" xr:uid="{ED0BA203-A04F-4FC3-95B9-82816EF1EAA0}"/>
    <cellStyle name="20% - Accent3 18" xfId="118" xr:uid="{7339E6D7-B3E4-42BC-8306-A24689915AD9}"/>
    <cellStyle name="20% - Accent3 18 2" xfId="2921" xr:uid="{04DBDE11-942B-4054-88D4-94D628C86E33}"/>
    <cellStyle name="20% - Accent3 18 3" xfId="2922" xr:uid="{313A551C-A6D6-4A60-A238-E63AA365CFE9}"/>
    <cellStyle name="20% - Accent3 18 4" xfId="2923" xr:uid="{4EA9BBD1-6E59-437A-8231-40E5201D3112}"/>
    <cellStyle name="20% - Accent3 19" xfId="119" xr:uid="{A21FC866-F77D-4476-85FC-A150C85EEE34}"/>
    <cellStyle name="20% - Accent3 19 2" xfId="2924" xr:uid="{1F597979-5D59-46C2-A4A7-7F3C06CE4326}"/>
    <cellStyle name="20% - Accent3 19 3" xfId="2925" xr:uid="{75CF7B92-85B2-45C5-B861-6D8D3FA055A8}"/>
    <cellStyle name="20% - Accent3 19 4" xfId="2926" xr:uid="{6C490539-1F73-417B-9584-FC04CA0118F9}"/>
    <cellStyle name="20% - Accent3 2" xfId="120" xr:uid="{11264397-7F86-4935-AECE-ACD3EF150753}"/>
    <cellStyle name="20% - Accent3 2 2" xfId="121" xr:uid="{C7B3B565-DE2C-44D4-9413-C6A0D8B450CB}"/>
    <cellStyle name="20% - Accent3 2 2 2" xfId="2372" xr:uid="{D91B7F28-5214-4169-ACA9-0E3D648F5F4A}"/>
    <cellStyle name="20% - Accent3 2 2 2 2" xfId="2927" xr:uid="{5FEA54E0-3DE1-418D-988C-0015C836E0AA}"/>
    <cellStyle name="20% - Accent3 2 2 2 3" xfId="2928" xr:uid="{B815EAFF-CF4D-4B0E-8FE5-F66999FE9AB1}"/>
    <cellStyle name="20% - Accent3 2 2 2 4" xfId="2929" xr:uid="{ED0E1081-190C-49F5-9A07-6AAFA772913D}"/>
    <cellStyle name="20% - Accent3 2 2 3" xfId="2371" xr:uid="{F58BB881-86CD-40F4-9984-2A4A2141BA75}"/>
    <cellStyle name="20% - Accent3 2 2 3 2" xfId="2930" xr:uid="{3BA3F551-1CEE-450D-ADDC-90286D85EB2E}"/>
    <cellStyle name="20% - Accent3 2 2 3 2 2" xfId="2931" xr:uid="{5B6EB839-4F12-492D-9D50-CBFA9D3945FF}"/>
    <cellStyle name="20% - Accent3 2 2 3 2_Exist Trunk Assets - Ferry" xfId="8337" xr:uid="{7A2CA226-C0FD-4436-AE4F-25E4B01A880B}"/>
    <cellStyle name="20% - Accent3 2 2 3 3" xfId="2932" xr:uid="{14562624-73E8-4C0C-B908-B04BC82D427F}"/>
    <cellStyle name="20% - Accent3 2 2 3 3 2" xfId="2933" xr:uid="{6580C269-A3E7-4CF1-AE0D-4D506999B81D}"/>
    <cellStyle name="20% - Accent3 2 2 3 3_Exist Trunk Assets - Ferry" xfId="8338" xr:uid="{D11CD6B2-2D2E-4D00-AF6C-0D8BC885DD60}"/>
    <cellStyle name="20% - Accent3 2 2 3 4" xfId="2934" xr:uid="{87F0084F-FF5C-4A3F-B1EB-9999E44CD73B}"/>
    <cellStyle name="20% - Accent3 2 2 3_Exist Trunk Assets - Ferry" xfId="8336" xr:uid="{7CC9EF07-D28C-4724-A345-974796687472}"/>
    <cellStyle name="20% - Accent3 2 2 4" xfId="2935" xr:uid="{22F0B85F-2941-47E2-816D-1C5AF54184D4}"/>
    <cellStyle name="20% - Accent3 2 2 5" xfId="2936" xr:uid="{C9019A1E-015B-4C25-ADB9-D52421042D02}"/>
    <cellStyle name="20% - Accent3 2 2 6" xfId="2937" xr:uid="{A78989DE-ED37-407B-966E-8BC7960AB15E}"/>
    <cellStyle name="20% - Accent3 2 3" xfId="122" xr:uid="{09F673E5-3B22-484E-B0EB-48D69A8990BF}"/>
    <cellStyle name="20% - Accent3 2 3 2" xfId="2938" xr:uid="{60F5E11E-C218-45AE-AB6C-CA07321D8E48}"/>
    <cellStyle name="20% - Accent3 2 3 2 2" xfId="2939" xr:uid="{D586D183-C547-4DD7-A647-995D9C50C409}"/>
    <cellStyle name="20% - Accent3 2 3 2_Exist Trunk Assets - Ferry" xfId="8340" xr:uid="{E275533C-378F-4272-A381-4E964B160626}"/>
    <cellStyle name="20% - Accent3 2 3 3" xfId="2940" xr:uid="{6655F32D-C500-4532-A965-646144F29928}"/>
    <cellStyle name="20% - Accent3 2 3 3 2" xfId="2941" xr:uid="{AF96ED04-4B30-436A-8AB1-B65EAC16DDA4}"/>
    <cellStyle name="20% - Accent3 2 3 3_Exist Trunk Assets - Ferry" xfId="8341" xr:uid="{FF74F65B-F285-4349-8404-DF01EEA9E5A1}"/>
    <cellStyle name="20% - Accent3 2 3 4" xfId="2942" xr:uid="{6818D10B-D1AA-4C74-9EE2-4593BD4CE2F4}"/>
    <cellStyle name="20% - Accent3 2 3_Exist Trunk Assets - Ferry" xfId="8339" xr:uid="{4184565C-0288-4E01-AA2E-621A072B9A93}"/>
    <cellStyle name="20% - Accent3 2 4" xfId="2943" xr:uid="{AE377669-3A91-462B-AF49-738BC80D4A43}"/>
    <cellStyle name="20% - Accent3 2 4 2" xfId="2944" xr:uid="{2A560DD8-41CE-46CF-9670-9602E43BD6B0}"/>
    <cellStyle name="20% - Accent3 2 4_Exist Trunk Assets - Ferry" xfId="8342" xr:uid="{0BE585FC-48C3-4E43-A061-6F98BDFBB510}"/>
    <cellStyle name="20% - Accent3 2 5" xfId="2945" xr:uid="{2095B00C-9976-47B5-A4C5-8D71C60F937B}"/>
    <cellStyle name="20% - Accent3 2 5 2" xfId="2946" xr:uid="{ABE5226D-01D4-4260-8EBC-5C52B921F089}"/>
    <cellStyle name="20% - Accent3 2 5_Exist Trunk Assets - Ferry" xfId="8343" xr:uid="{48A88647-36E2-49EE-BFEE-428CB4BBC52E}"/>
    <cellStyle name="20% - Accent3 2 6" xfId="2947" xr:uid="{F4F15F30-BD22-4C23-B04C-B51B58C8916D}"/>
    <cellStyle name="20% - Accent3 2 7" xfId="8127" xr:uid="{501E250B-007C-4DF0-A058-C5C20AE9958A}"/>
    <cellStyle name="20% - Accent3 2_Exist Trunk Assets - Ferry" xfId="8335" xr:uid="{AC1709C3-9B6A-44BF-83B9-B691D7261D6F}"/>
    <cellStyle name="20% - Accent3 20" xfId="123" xr:uid="{6F5BB65B-2336-461E-8971-F263F3B8967D}"/>
    <cellStyle name="20% - Accent3 20 2" xfId="2948" xr:uid="{7848A6EC-C78A-405D-B7ED-7A2C3F050655}"/>
    <cellStyle name="20% - Accent3 20 3" xfId="2949" xr:uid="{4874F4C1-3873-4FAE-B0B9-99F8CE1589B2}"/>
    <cellStyle name="20% - Accent3 20 4" xfId="2950" xr:uid="{234665B9-E16B-4C3A-AC7E-B1CF142A2644}"/>
    <cellStyle name="20% - Accent3 21" xfId="124" xr:uid="{4F7E84E1-7515-4A14-84A0-49F2EAF4FF97}"/>
    <cellStyle name="20% - Accent3 21 2" xfId="2951" xr:uid="{CC21D4DE-1A8D-407E-9A0D-67FB11706B08}"/>
    <cellStyle name="20% - Accent3 21 3" xfId="2952" xr:uid="{A539CB73-797C-41A7-B4B8-B10FD35F1CB9}"/>
    <cellStyle name="20% - Accent3 21 4" xfId="2953" xr:uid="{0F044B5C-A3AA-4FC6-A4A5-012124F27E88}"/>
    <cellStyle name="20% - Accent3 22" xfId="125" xr:uid="{DEBAAA0B-1E9D-4F24-AD40-08A7245787F8}"/>
    <cellStyle name="20% - Accent3 22 2" xfId="2954" xr:uid="{BDB7A2C8-A195-4644-BEDF-13776811B29D}"/>
    <cellStyle name="20% - Accent3 22 3" xfId="2955" xr:uid="{80DE59A0-931E-4495-8352-F8D62D0FEF4F}"/>
    <cellStyle name="20% - Accent3 22 4" xfId="2956" xr:uid="{BBC4E916-8F43-4161-B0DF-C42A02CC2D7E}"/>
    <cellStyle name="20% - Accent3 23" xfId="126" xr:uid="{7F7BCE6F-A08C-4705-B759-3C76A404C105}"/>
    <cellStyle name="20% - Accent3 23 2" xfId="2957" xr:uid="{CCA6A960-F0B5-4DE5-9008-C576BA1753DC}"/>
    <cellStyle name="20% - Accent3 23 3" xfId="2958" xr:uid="{2073292F-CC24-4E70-964E-47AE3AD0592F}"/>
    <cellStyle name="20% - Accent3 23 4" xfId="2959" xr:uid="{3EE76B8B-F124-4F70-B50F-9A0BEB0BCC78}"/>
    <cellStyle name="20% - Accent3 24" xfId="127" xr:uid="{F213C506-133E-4877-918C-BF32B91394A4}"/>
    <cellStyle name="20% - Accent3 24 2" xfId="2960" xr:uid="{3EE9B76B-7554-4B7C-BF6C-72DAB5CB247B}"/>
    <cellStyle name="20% - Accent3 24 3" xfId="2961" xr:uid="{253260DB-651D-44A0-B4E8-1B722BF26472}"/>
    <cellStyle name="20% - Accent3 24 4" xfId="2962" xr:uid="{83200EE1-E5AF-4277-A619-DB4B578DB77D}"/>
    <cellStyle name="20% - Accent3 25" xfId="128" xr:uid="{2438D744-0AFB-4839-B0F7-D1A65B37A741}"/>
    <cellStyle name="20% - Accent3 25 2" xfId="2963" xr:uid="{87E025C7-BD1C-437A-87B0-2B018D7A8B73}"/>
    <cellStyle name="20% - Accent3 25 3" xfId="2964" xr:uid="{B2043617-1FF5-4E88-971F-05B4DE4597CA}"/>
    <cellStyle name="20% - Accent3 25 4" xfId="2965" xr:uid="{CD345C29-0768-4F42-923C-CBB66A242548}"/>
    <cellStyle name="20% - Accent3 26" xfId="129" xr:uid="{6CE13E3F-ADF7-4EAF-9410-B985FDE6B89A}"/>
    <cellStyle name="20% - Accent3 26 2" xfId="2966" xr:uid="{8F5EC629-2250-49F3-AB09-E8B19A9B8C4A}"/>
    <cellStyle name="20% - Accent3 26 3" xfId="2967" xr:uid="{CE4B8485-4B78-4AA3-B560-D84E9D6B3398}"/>
    <cellStyle name="20% - Accent3 26 4" xfId="2968" xr:uid="{CA076344-5828-4AF6-96F9-84367315D748}"/>
    <cellStyle name="20% - Accent3 27" xfId="130" xr:uid="{1BCC9FEF-9ACF-4A7B-A685-1023B4E626DB}"/>
    <cellStyle name="20% - Accent3 27 2" xfId="2969" xr:uid="{733EDA5E-8880-4F78-870C-D25A28F89A7E}"/>
    <cellStyle name="20% - Accent3 27 3" xfId="2970" xr:uid="{7FF57109-FE11-41E7-A752-0ABE512F5BE8}"/>
    <cellStyle name="20% - Accent3 27 4" xfId="2971" xr:uid="{C4E5EA33-2BBD-4BDA-A880-6EA1F69137CC}"/>
    <cellStyle name="20% - Accent3 28" xfId="131" xr:uid="{6F176C87-EE70-4A3D-A09A-49B1A5442E04}"/>
    <cellStyle name="20% - Accent3 28 2" xfId="2972" xr:uid="{B5BD47DB-CB72-4BAC-B56D-205FA4934088}"/>
    <cellStyle name="20% - Accent3 28 3" xfId="2973" xr:uid="{7830D05A-8773-47AA-B17E-428A98D0B7BE}"/>
    <cellStyle name="20% - Accent3 28 4" xfId="2974" xr:uid="{5EFC8464-7754-490D-94A7-626037E9617A}"/>
    <cellStyle name="20% - Accent3 29" xfId="132" xr:uid="{1A2BE062-638E-4A3D-9F0F-BA6CEDD8DEF9}"/>
    <cellStyle name="20% - Accent3 29 2" xfId="2975" xr:uid="{6C28FFB9-8BFD-4314-8A98-3DE9E4F4F40C}"/>
    <cellStyle name="20% - Accent3 29 3" xfId="2976" xr:uid="{76B3C44C-27DA-451C-962A-B974C253D1D0}"/>
    <cellStyle name="20% - Accent3 29 4" xfId="2977" xr:uid="{79392FA7-AB0B-437C-A985-9DAED912079F}"/>
    <cellStyle name="20% - Accent3 3" xfId="133" xr:uid="{14B3E22E-D118-461E-8158-DC16992E4E69}"/>
    <cellStyle name="20% - Accent3 3 2" xfId="134" xr:uid="{444FE88D-7966-473F-BDB8-8BB662D64BFD}"/>
    <cellStyle name="20% - Accent3 3 2 2" xfId="2978" xr:uid="{86ED0AA5-CF13-4502-AB5F-6FDF336A2564}"/>
    <cellStyle name="20% - Accent3 3 2 2 2" xfId="2979" xr:uid="{90DE687D-D59C-4CE9-9620-0940EC403A63}"/>
    <cellStyle name="20% - Accent3 3 2 2_Exist Trunk Assets - Ferry" xfId="8346" xr:uid="{97DECB63-6C61-4789-A86D-91E5F379A6DE}"/>
    <cellStyle name="20% - Accent3 3 2 3" xfId="2980" xr:uid="{8ECB5ECD-49D6-4A27-AED1-AE257CFB11FF}"/>
    <cellStyle name="20% - Accent3 3 2 3 2" xfId="2981" xr:uid="{22E8A3D3-B8EA-4B04-99E6-BBDCB10E106F}"/>
    <cellStyle name="20% - Accent3 3 2 3_Exist Trunk Assets - Ferry" xfId="8347" xr:uid="{EA7710A4-735B-485B-9384-5C00DE783626}"/>
    <cellStyle name="20% - Accent3 3 2 4" xfId="2982" xr:uid="{8FC4A635-78B2-4B7C-8FE7-FC585EC02D76}"/>
    <cellStyle name="20% - Accent3 3 2_Exist Trunk Assets - Ferry" xfId="8345" xr:uid="{9A23DC6C-BEF8-49A3-BB5C-06D97795E7D6}"/>
    <cellStyle name="20% - Accent3 3 3" xfId="1839" xr:uid="{1786F32E-8B01-4860-B0D4-04FA265ACACB}"/>
    <cellStyle name="20% - Accent3 3 3 2" xfId="2983" xr:uid="{93682242-A3CA-450B-9B94-24E0D3D30A6E}"/>
    <cellStyle name="20% - Accent3 3 3 3" xfId="2984" xr:uid="{41C6A68B-0E87-46EA-B899-91B227BF27B0}"/>
    <cellStyle name="20% - Accent3 3 3 4" xfId="2985" xr:uid="{85378992-51DA-4FD3-9FD4-B00F56C1597D}"/>
    <cellStyle name="20% - Accent3 3 4" xfId="2986" xr:uid="{295F8C46-E4FF-4165-BFF3-16DB0ADEEEE9}"/>
    <cellStyle name="20% - Accent3 3 4 2" xfId="2987" xr:uid="{A8AD4FE1-0356-4A82-82E6-CE620DD7C3F8}"/>
    <cellStyle name="20% - Accent3 3 4_Exist Trunk Assets - Ferry" xfId="8348" xr:uid="{E7E58622-AD83-4528-BBCC-C4D6504329BB}"/>
    <cellStyle name="20% - Accent3 3 5" xfId="2988" xr:uid="{7BF56D41-A61E-4FF8-A985-754CB98A9B6F}"/>
    <cellStyle name="20% - Accent3 3 5 2" xfId="2989" xr:uid="{5A1AE7C9-8057-47AB-8C64-4DC8B001A9D6}"/>
    <cellStyle name="20% - Accent3 3 5_Exist Trunk Assets - Ferry" xfId="8349" xr:uid="{2D1A6D81-5028-41AF-AF97-8568F515D9AB}"/>
    <cellStyle name="20% - Accent3 3 6" xfId="2990" xr:uid="{EB6331E4-E15A-4CFB-99F3-D0819EC1F0AE}"/>
    <cellStyle name="20% - Accent3 3_Exist Trunk Assets - Ferry" xfId="8344" xr:uid="{70FC6D6D-847F-4EEB-899F-18A20CA4A636}"/>
    <cellStyle name="20% - Accent3 30" xfId="135" xr:uid="{5466C152-9BD3-4D22-9209-C80FF88CC6CE}"/>
    <cellStyle name="20% - Accent3 30 2" xfId="2991" xr:uid="{7AC7C2E8-3AE4-4A8A-9905-75890A5D8B04}"/>
    <cellStyle name="20% - Accent3 30 3" xfId="2992" xr:uid="{EE19DABF-D010-491D-B1BF-C2E83D7E91AE}"/>
    <cellStyle name="20% - Accent3 30 4" xfId="2993" xr:uid="{25CD3572-63A6-484B-89BA-35667854BF21}"/>
    <cellStyle name="20% - Accent3 31" xfId="136" xr:uid="{ACB927B3-6BAC-488F-B1E3-2257D59338CE}"/>
    <cellStyle name="20% - Accent3 31 2" xfId="2994" xr:uid="{56453126-28E0-43BA-8C78-5C596D4C769C}"/>
    <cellStyle name="20% - Accent3 31 3" xfId="2995" xr:uid="{C03866E1-E297-4C9C-8734-AE1D1A53AAF4}"/>
    <cellStyle name="20% - Accent3 31 4" xfId="2996" xr:uid="{C1881A22-F01B-407A-B6A0-42247121F35F}"/>
    <cellStyle name="20% - Accent3 32" xfId="137" xr:uid="{618F7652-DD8E-4719-B816-9D0613AD7535}"/>
    <cellStyle name="20% - Accent3 32 2" xfId="2997" xr:uid="{3FA4319B-646D-4D2D-AAFC-B5F68C111970}"/>
    <cellStyle name="20% - Accent3 32 3" xfId="2998" xr:uid="{7306FB32-239A-4663-A23C-5D1B6C7AA253}"/>
    <cellStyle name="20% - Accent3 32 4" xfId="2999" xr:uid="{9C43AAD6-F45C-46C8-BEC6-D77BF74589DA}"/>
    <cellStyle name="20% - Accent3 33" xfId="138" xr:uid="{B1556397-0C93-466F-AE40-4AAC6C6A2F7A}"/>
    <cellStyle name="20% - Accent3 33 2" xfId="3000" xr:uid="{476B5947-3DDF-43D1-9205-089D6F2C568A}"/>
    <cellStyle name="20% - Accent3 33 3" xfId="3001" xr:uid="{9E81174D-B0D8-4BEA-9259-FEDB35CC41DA}"/>
    <cellStyle name="20% - Accent3 33 4" xfId="3002" xr:uid="{C1D0B08A-B6E1-410B-9B01-7FCEE362E7C7}"/>
    <cellStyle name="20% - Accent3 34" xfId="139" xr:uid="{BFAB8796-EF7D-4A43-9231-07AE15ED64F1}"/>
    <cellStyle name="20% - Accent3 34 2" xfId="3003" xr:uid="{9A351EE2-C8F9-4A2A-B70E-C3640DD8BF57}"/>
    <cellStyle name="20% - Accent3 34 3" xfId="3004" xr:uid="{21C194EC-D3D4-4CC6-BC85-D78725C6C1CF}"/>
    <cellStyle name="20% - Accent3 34 4" xfId="3005" xr:uid="{05FB470E-B9E6-43FA-9511-D7EEA4682677}"/>
    <cellStyle name="20% - Accent3 35" xfId="140" xr:uid="{EFB0F261-BE6F-41C0-84DE-95A35AF3257E}"/>
    <cellStyle name="20% - Accent3 35 2" xfId="3006" xr:uid="{D821BA16-76D5-4AB0-827D-752E443FE2B4}"/>
    <cellStyle name="20% - Accent3 35 3" xfId="3007" xr:uid="{9E9DFC03-B229-4905-9E3D-869A43E1D66D}"/>
    <cellStyle name="20% - Accent3 35 4" xfId="3008" xr:uid="{91E3DD8C-D8AC-47F6-A1A8-B60F37561E09}"/>
    <cellStyle name="20% - Accent3 36" xfId="141" xr:uid="{39435F8A-0933-42A1-874F-397534BA20B0}"/>
    <cellStyle name="20% - Accent3 36 2" xfId="3009" xr:uid="{05D71BBE-57B2-4923-A496-804CC4332A61}"/>
    <cellStyle name="20% - Accent3 36 3" xfId="3010" xr:uid="{EB9ACC6A-13CB-47CD-9D62-C5B32203253C}"/>
    <cellStyle name="20% - Accent3 36 4" xfId="3011" xr:uid="{5C05FCAE-F28E-497B-AE90-19BB4AE2C8C0}"/>
    <cellStyle name="20% - Accent3 37" xfId="142" xr:uid="{DD50AD01-AD09-4ED9-AC9F-D3D2B32BBD43}"/>
    <cellStyle name="20% - Accent3 37 2" xfId="3012" xr:uid="{16BF8062-1669-4B22-A01B-875BE5F8AE84}"/>
    <cellStyle name="20% - Accent3 37 3" xfId="3013" xr:uid="{144D056A-4A47-46BE-AB4E-7C3DE62F5B71}"/>
    <cellStyle name="20% - Accent3 37 4" xfId="3014" xr:uid="{25281074-1CD5-4A4E-AFCE-DDB461B9DE1A}"/>
    <cellStyle name="20% - Accent3 38" xfId="143" xr:uid="{CC017BBA-C85F-40A2-A26A-2B512248457E}"/>
    <cellStyle name="20% - Accent3 38 2" xfId="3015" xr:uid="{D5A7CACB-FDCA-4AFA-9C79-E8ACA05FFADE}"/>
    <cellStyle name="20% - Accent3 38 3" xfId="3016" xr:uid="{6C23E9F0-491A-428C-9D29-9C7AEC2B9B4A}"/>
    <cellStyle name="20% - Accent3 38 4" xfId="3017" xr:uid="{7EBF8E0C-0482-4905-BBD8-E8F6551D410B}"/>
    <cellStyle name="20% - Accent3 39" xfId="144" xr:uid="{9F2DC2EA-029C-46B3-A2AB-2AA979F7A4DF}"/>
    <cellStyle name="20% - Accent3 39 2" xfId="3018" xr:uid="{9E487CA8-53C6-4092-B0A9-B786A583C4A4}"/>
    <cellStyle name="20% - Accent3 39 3" xfId="3019" xr:uid="{4F3E9830-CE55-45B5-AABB-27C5E8023415}"/>
    <cellStyle name="20% - Accent3 39 4" xfId="3020" xr:uid="{D735AC7F-4BD7-4FFF-B097-B3769DFEA71A}"/>
    <cellStyle name="20% - Accent3 4" xfId="145" xr:uid="{7EAAD5A4-3119-4F61-B3C9-B1BB1A7DC036}"/>
    <cellStyle name="20% - Accent3 4 2" xfId="146" xr:uid="{4030EF92-2AED-4BD2-9580-542D1A7C4C26}"/>
    <cellStyle name="20% - Accent3 4 2 2" xfId="3021" xr:uid="{55329DDF-773B-4D08-8621-61B8255D31BF}"/>
    <cellStyle name="20% - Accent3 4 2 2 2" xfId="3022" xr:uid="{7028B8BF-3A2D-4BE4-9C4C-3BD113CDE1F1}"/>
    <cellStyle name="20% - Accent3 4 2 2_Exist Trunk Assets - Ferry" xfId="8352" xr:uid="{7F3AE2A0-AC66-492C-BC85-5C1A9ABA1A7A}"/>
    <cellStyle name="20% - Accent3 4 2 3" xfId="3023" xr:uid="{E94D2B6C-F78D-48A5-A3D2-B4F1FEF0A367}"/>
    <cellStyle name="20% - Accent3 4 2 3 2" xfId="3024" xr:uid="{C069A6A3-8E16-4E77-8368-17AF4128026E}"/>
    <cellStyle name="20% - Accent3 4 2 3_Exist Trunk Assets - Ferry" xfId="8353" xr:uid="{317EAB2B-9413-4582-AF0D-7611E990BC25}"/>
    <cellStyle name="20% - Accent3 4 2 4" xfId="3025" xr:uid="{BD8C0B37-2110-404A-BF73-FADF11D0F9B4}"/>
    <cellStyle name="20% - Accent3 4 2_Exist Trunk Assets - Ferry" xfId="8351" xr:uid="{E4851D4F-D926-402A-8262-B305D2BAE3F0}"/>
    <cellStyle name="20% - Accent3 4 3" xfId="1840" xr:uid="{A2C12FD9-BEA8-4EBF-918E-90A089247F45}"/>
    <cellStyle name="20% - Accent3 4 3 2" xfId="3026" xr:uid="{12CCC969-0A67-4534-AF51-C98CB586A3D8}"/>
    <cellStyle name="20% - Accent3 4 3 3" xfId="3027" xr:uid="{8CAEBD12-A88A-4983-929C-1524879AA04A}"/>
    <cellStyle name="20% - Accent3 4 3 4" xfId="3028" xr:uid="{8BB737AE-0951-4773-9A71-274F0EF9A293}"/>
    <cellStyle name="20% - Accent3 4 4" xfId="3029" xr:uid="{056C14C3-CF64-4CCA-A426-8D89DEE165AB}"/>
    <cellStyle name="20% - Accent3 4 4 2" xfId="3030" xr:uid="{41D60C98-390E-4BA3-B13C-E54B8B03C9B8}"/>
    <cellStyle name="20% - Accent3 4 4_Exist Trunk Assets - Ferry" xfId="8354" xr:uid="{0626D8E0-0699-4D69-B5ED-3D074F331AA5}"/>
    <cellStyle name="20% - Accent3 4 5" xfId="3031" xr:uid="{96F920CE-77E5-43BB-B745-51EB914BAAA2}"/>
    <cellStyle name="20% - Accent3 4 5 2" xfId="3032" xr:uid="{63467E6A-3EA3-497E-8157-DA05564FBCB4}"/>
    <cellStyle name="20% - Accent3 4 5_Exist Trunk Assets - Ferry" xfId="8355" xr:uid="{CB93A8FF-E5C2-4BBC-90DE-504C0253A341}"/>
    <cellStyle name="20% - Accent3 4 6" xfId="3033" xr:uid="{D5A97E9F-FC51-413B-943F-C3E17215C174}"/>
    <cellStyle name="20% - Accent3 4_Exist Trunk Assets - Ferry" xfId="8350" xr:uid="{6DA4F89B-72E7-4CF7-85E8-A2BC4A735A51}"/>
    <cellStyle name="20% - Accent3 40" xfId="147" xr:uid="{62B7C775-9F97-4254-BAA3-F5AD99056675}"/>
    <cellStyle name="20% - Accent3 40 2" xfId="3034" xr:uid="{5003C083-871E-4DD6-9445-27795C5C1FB3}"/>
    <cellStyle name="20% - Accent3 40 3" xfId="3035" xr:uid="{5A9A0F78-2807-4E16-9E08-E5C7CB0D1565}"/>
    <cellStyle name="20% - Accent3 40 4" xfId="3036" xr:uid="{0DEF39B3-1D5B-4986-89E2-7C086F943678}"/>
    <cellStyle name="20% - Accent3 5" xfId="148" xr:uid="{3F8410FF-AC26-451D-AF0F-06854864B771}"/>
    <cellStyle name="20% - Accent3 5 2" xfId="1838" xr:uid="{6798EC43-C314-4474-B3E9-55124F065B15}"/>
    <cellStyle name="20% - Accent3 5 2 2" xfId="2373" xr:uid="{6F54673D-5613-469E-B385-BD484C371BF9}"/>
    <cellStyle name="20% - Accent3 5 2 2 2" xfId="3037" xr:uid="{761740BF-F2DE-48BF-B8F3-2B2DE054EB72}"/>
    <cellStyle name="20% - Accent3 5 2 2 2 2" xfId="3038" xr:uid="{F613EC3C-5F76-4432-A6A7-535A73D8352D}"/>
    <cellStyle name="20% - Accent3 5 2 2 2_Exist Trunk Assets - Ferry" xfId="8358" xr:uid="{D5D04AF8-9DA2-43E3-8BEE-90B8C763EE08}"/>
    <cellStyle name="20% - Accent3 5 2 2 3" xfId="3039" xr:uid="{5B857D3A-7080-494E-A236-1FE8664ACF4E}"/>
    <cellStyle name="20% - Accent3 5 2 2 3 2" xfId="3040" xr:uid="{E27A605F-478B-4D53-8C71-F5C6DE9EA46F}"/>
    <cellStyle name="20% - Accent3 5 2 2 3_Exist Trunk Assets - Ferry" xfId="8359" xr:uid="{83E3F61A-2D69-438B-B515-8D9228F09555}"/>
    <cellStyle name="20% - Accent3 5 2 2 4" xfId="3041" xr:uid="{69716109-0420-4EE9-975C-CB513947128A}"/>
    <cellStyle name="20% - Accent3 5 2 2_Exist Trunk Assets - Ferry" xfId="8357" xr:uid="{90C9D0C0-6C6C-484F-8C99-05FBFA78D7B0}"/>
    <cellStyle name="20% - Accent3 5 2 3" xfId="3042" xr:uid="{517BBE21-0B06-41C2-9E4E-7D2C8294DAC9}"/>
    <cellStyle name="20% - Accent3 5 2 4" xfId="3043" xr:uid="{10843AB7-F2F2-4A40-8F76-1D5E5D2AA5F2}"/>
    <cellStyle name="20% - Accent3 5 2 5" xfId="3044" xr:uid="{EA901636-A6BF-4800-9CAF-9E29ABFB5338}"/>
    <cellStyle name="20% - Accent3 5 3" xfId="3045" xr:uid="{3A71D9A6-F65E-436C-9DD1-49047D4D9E12}"/>
    <cellStyle name="20% - Accent3 5 3 2" xfId="3046" xr:uid="{606C66D1-3B63-4753-B4A6-214CB7E5BAD9}"/>
    <cellStyle name="20% - Accent3 5 3_Exist Trunk Assets - Ferry" xfId="8360" xr:uid="{E7985021-F058-4153-80A5-473D9871AEAA}"/>
    <cellStyle name="20% - Accent3 5 4" xfId="3047" xr:uid="{0C79A300-A0EE-4481-A81F-6E452F79A244}"/>
    <cellStyle name="20% - Accent3 5 4 2" xfId="3048" xr:uid="{7F541F34-0D5C-4110-BBF9-A9EFD75E9A90}"/>
    <cellStyle name="20% - Accent3 5 4_Exist Trunk Assets - Ferry" xfId="8361" xr:uid="{9A0EFB0D-755C-464F-974D-CD5881F6C5AC}"/>
    <cellStyle name="20% - Accent3 5 5" xfId="3049" xr:uid="{D84F43C7-AC44-45DE-BF03-53FC0C139DB8}"/>
    <cellStyle name="20% - Accent3 5_Exist Trunk Assets - Ferry" xfId="8356" xr:uid="{C2D98962-9E28-44FE-BABC-847855609028}"/>
    <cellStyle name="20% - Accent3 6" xfId="149" xr:uid="{F30306EB-FD82-4FF7-A9BD-A62F551C5C3F}"/>
    <cellStyle name="20% - Accent3 6 2" xfId="3050" xr:uid="{113175BE-C8BB-4BC0-8C22-22612ACA54F9}"/>
    <cellStyle name="20% - Accent3 6 3" xfId="3051" xr:uid="{5AAE25AC-149C-4CA1-B5C1-88F2FBF6F9AC}"/>
    <cellStyle name="20% - Accent3 6 4" xfId="3052" xr:uid="{DDF40B52-A8B8-4DC1-B5F7-2DDD88C4DE4D}"/>
    <cellStyle name="20% - Accent3 7" xfId="150" xr:uid="{4EE2C05F-F4F2-4E44-9620-FC81E8F75D77}"/>
    <cellStyle name="20% - Accent3 7 2" xfId="3053" xr:uid="{73973DB1-DFAC-4DE1-BCF3-FA6F3D6F0195}"/>
    <cellStyle name="20% - Accent3 7 3" xfId="3054" xr:uid="{CF587B6F-DF63-48B6-99B4-E4B5BCF6C939}"/>
    <cellStyle name="20% - Accent3 7 4" xfId="3055" xr:uid="{B04DE05F-03C4-4DB1-84F8-88A543744866}"/>
    <cellStyle name="20% - Accent3 8" xfId="151" xr:uid="{FEF33247-B017-4E11-B914-0F3903B2B03C}"/>
    <cellStyle name="20% - Accent3 8 2" xfId="3056" xr:uid="{11C5B534-3BFF-475F-8BBC-C362A2CF1131}"/>
    <cellStyle name="20% - Accent3 8 3" xfId="3057" xr:uid="{42BE4BA4-B0CA-4305-A0C9-64505F2E0C23}"/>
    <cellStyle name="20% - Accent3 8 4" xfId="3058" xr:uid="{0AA484FA-961E-465B-BFC5-48C6B8CC993B}"/>
    <cellStyle name="20% - Accent3 9" xfId="152" xr:uid="{3602D5ED-EA90-433A-92CF-71215B4AE990}"/>
    <cellStyle name="20% - Accent3 9 2" xfId="3059" xr:uid="{D10D5B67-7C8F-4C72-BA45-1DDA914DF064}"/>
    <cellStyle name="20% - Accent3 9 3" xfId="3060" xr:uid="{745B74D7-D5FF-493E-981B-2BF314CE3DAC}"/>
    <cellStyle name="20% - Accent3 9 4" xfId="3061" xr:uid="{2770B63B-CDC3-4D95-851F-3330F01EFBB2}"/>
    <cellStyle name="20% - Accent4 10" xfId="153" xr:uid="{8A04C166-A702-4506-9ED0-6C45E3527DCF}"/>
    <cellStyle name="20% - Accent4 10 2" xfId="3062" xr:uid="{6D281D92-E930-41E1-A837-16E3013556DB}"/>
    <cellStyle name="20% - Accent4 10 3" xfId="3063" xr:uid="{B60AD23A-3993-4917-92C3-62ACC736E746}"/>
    <cellStyle name="20% - Accent4 10 4" xfId="3064" xr:uid="{A6F7D3CE-4258-4013-BB11-14BB560F172A}"/>
    <cellStyle name="20% - Accent4 11" xfId="154" xr:uid="{32D7EE8D-3214-4F13-8814-D63C67AB31AD}"/>
    <cellStyle name="20% - Accent4 11 2" xfId="3065" xr:uid="{BCDD8BC6-5C53-42C8-8EE5-0F1AB752996E}"/>
    <cellStyle name="20% - Accent4 11 3" xfId="3066" xr:uid="{92B94FB5-8C95-4C71-B4B7-27D0ACE37A63}"/>
    <cellStyle name="20% - Accent4 11 4" xfId="3067" xr:uid="{E879DD69-6884-4E80-AD2C-2D73B7FCA97E}"/>
    <cellStyle name="20% - Accent4 12" xfId="155" xr:uid="{F839DF7F-142C-46DE-9FFE-7227DE5518B1}"/>
    <cellStyle name="20% - Accent4 12 2" xfId="3068" xr:uid="{542F5701-115F-40A5-B210-A5CAF7CB7511}"/>
    <cellStyle name="20% - Accent4 12 3" xfId="3069" xr:uid="{8D81E8CB-38A7-4BA8-9124-621C15AF44F7}"/>
    <cellStyle name="20% - Accent4 12 4" xfId="3070" xr:uid="{70B5DAAD-EE3B-4EF0-BB7A-C1B0971FC0CF}"/>
    <cellStyle name="20% - Accent4 13" xfId="156" xr:uid="{064872F0-EC04-462A-BDED-AE734F276404}"/>
    <cellStyle name="20% - Accent4 13 2" xfId="3071" xr:uid="{3BD1A65E-008E-4E65-9288-3F1ED999A7A1}"/>
    <cellStyle name="20% - Accent4 13 3" xfId="3072" xr:uid="{DC9793CD-5935-465D-AB70-CF71D8D2C869}"/>
    <cellStyle name="20% - Accent4 13 4" xfId="3073" xr:uid="{5DBE6A00-0BC7-4961-8E08-58F0A263F3F8}"/>
    <cellStyle name="20% - Accent4 14" xfId="157" xr:uid="{CFDFAC78-EDA9-4256-AD2E-D92ABBFDD3FC}"/>
    <cellStyle name="20% - Accent4 14 2" xfId="3074" xr:uid="{91141E1A-CDB2-4408-BB44-630F5DE1483C}"/>
    <cellStyle name="20% - Accent4 14 3" xfId="3075" xr:uid="{473167FE-6202-4B71-A1A0-DB03596D0EF6}"/>
    <cellStyle name="20% - Accent4 14 4" xfId="3076" xr:uid="{1B7A630F-3D46-42ED-8DD8-8E621EDA5887}"/>
    <cellStyle name="20% - Accent4 15" xfId="158" xr:uid="{1402D4CA-2967-4452-9984-3CC4295780DB}"/>
    <cellStyle name="20% - Accent4 15 2" xfId="3077" xr:uid="{EDE0D3BD-89D0-4FF4-AB37-B06CE4233AB2}"/>
    <cellStyle name="20% - Accent4 15 3" xfId="3078" xr:uid="{39C1D30D-27A3-4C86-8278-F4D3DF253171}"/>
    <cellStyle name="20% - Accent4 15 4" xfId="3079" xr:uid="{2784245C-D37E-492E-BB46-65D3623587F8}"/>
    <cellStyle name="20% - Accent4 16" xfId="159" xr:uid="{EE847256-7035-4B19-8FEB-329EEA4D28A5}"/>
    <cellStyle name="20% - Accent4 16 2" xfId="3080" xr:uid="{8D56251A-1AEE-45CD-BDF1-172F51A80D36}"/>
    <cellStyle name="20% - Accent4 16 3" xfId="3081" xr:uid="{A6AF1388-AA18-4E35-98AC-391A810D75F1}"/>
    <cellStyle name="20% - Accent4 16 4" xfId="3082" xr:uid="{6C455026-84FE-4E79-8B01-64CA831D9E08}"/>
    <cellStyle name="20% - Accent4 17" xfId="160" xr:uid="{E5F7F99C-02C1-4B30-8D7B-A571B31166F0}"/>
    <cellStyle name="20% - Accent4 17 2" xfId="3083" xr:uid="{832FA1FB-4873-4FC2-905B-CD2220426B92}"/>
    <cellStyle name="20% - Accent4 17 3" xfId="3084" xr:uid="{5C51ADEE-C2BE-4D85-B65E-2FB43564E95F}"/>
    <cellStyle name="20% - Accent4 17 4" xfId="3085" xr:uid="{00511420-A622-4F98-8429-66837F66DDD4}"/>
    <cellStyle name="20% - Accent4 18" xfId="161" xr:uid="{EE883C98-A841-413E-AE94-44C3C0B3EB8A}"/>
    <cellStyle name="20% - Accent4 18 2" xfId="3086" xr:uid="{A92033F7-546C-42DA-B120-A89FB6D3BEDE}"/>
    <cellStyle name="20% - Accent4 18 3" xfId="3087" xr:uid="{78D0248B-654D-42F4-B074-E84DCC8125B2}"/>
    <cellStyle name="20% - Accent4 18 4" xfId="3088" xr:uid="{BEAEB5B9-78CE-4291-92E7-5393D0524A00}"/>
    <cellStyle name="20% - Accent4 19" xfId="162" xr:uid="{45FAC28F-F355-4993-A30D-87D60E7EDC29}"/>
    <cellStyle name="20% - Accent4 19 2" xfId="3089" xr:uid="{51939F8D-C9DF-443B-92A5-3EBC65204A7A}"/>
    <cellStyle name="20% - Accent4 19 3" xfId="3090" xr:uid="{3960B8A3-1C5C-4A75-BE99-925C50600177}"/>
    <cellStyle name="20% - Accent4 19 4" xfId="3091" xr:uid="{6ED49107-B2DF-4ED4-A46B-FD5C9503C682}"/>
    <cellStyle name="20% - Accent4 2" xfId="163" xr:uid="{95983F14-8A15-4F7E-B39A-8D569903E07D}"/>
    <cellStyle name="20% - Accent4 2 2" xfId="164" xr:uid="{AB1C7721-A4ED-45AC-AA3C-358A81263ECF}"/>
    <cellStyle name="20% - Accent4 2 2 2" xfId="2375" xr:uid="{8B08DC19-9935-4E14-97CD-AFACA6071A22}"/>
    <cellStyle name="20% - Accent4 2 2 2 2" xfId="3092" xr:uid="{E12E9136-D3AA-42D1-8DAB-7A811CBD342A}"/>
    <cellStyle name="20% - Accent4 2 2 2 3" xfId="3093" xr:uid="{45EF9601-21EF-4E21-816B-91F421120923}"/>
    <cellStyle name="20% - Accent4 2 2 2 4" xfId="3094" xr:uid="{07327316-0C1B-47C5-AE10-B6067D3598F7}"/>
    <cellStyle name="20% - Accent4 2 2 3" xfId="2374" xr:uid="{D86168C8-C0DF-4CF0-9690-5455AA27A8D4}"/>
    <cellStyle name="20% - Accent4 2 2 3 2" xfId="3095" xr:uid="{E2A81735-8105-4C9C-87F1-D4A9B4E5E9A2}"/>
    <cellStyle name="20% - Accent4 2 2 3 2 2" xfId="3096" xr:uid="{6C46CAAF-75AA-4FAA-8565-B46C8CA93CBA}"/>
    <cellStyle name="20% - Accent4 2 2 3 2_Exist Trunk Assets - Ferry" xfId="8364" xr:uid="{6D2D356B-1F2A-40AB-BD05-FD0D52D145D6}"/>
    <cellStyle name="20% - Accent4 2 2 3 3" xfId="3097" xr:uid="{598F4077-7B6D-4600-A7B3-FF6F11EBC334}"/>
    <cellStyle name="20% - Accent4 2 2 3 3 2" xfId="3098" xr:uid="{66A8548C-321D-494B-9204-322BAEB140FA}"/>
    <cellStyle name="20% - Accent4 2 2 3 3_Exist Trunk Assets - Ferry" xfId="8365" xr:uid="{29FFF2A6-E1AB-4106-B4D5-1A7D05557E28}"/>
    <cellStyle name="20% - Accent4 2 2 3 4" xfId="3099" xr:uid="{D646727E-084F-436E-8D92-10BEF71A45E4}"/>
    <cellStyle name="20% - Accent4 2 2 3_Exist Trunk Assets - Ferry" xfId="8363" xr:uid="{6655B3D8-530F-4625-BAC2-0B96539B86EB}"/>
    <cellStyle name="20% - Accent4 2 2 4" xfId="3100" xr:uid="{D6CD3B13-357B-4FA9-B9AA-0ADA720DFFE8}"/>
    <cellStyle name="20% - Accent4 2 2 5" xfId="3101" xr:uid="{F8141CD0-4459-445C-B3F8-5488EDCBDBE9}"/>
    <cellStyle name="20% - Accent4 2 2 6" xfId="3102" xr:uid="{D0278BEB-C3F4-450B-97C4-E6B7985CE34A}"/>
    <cellStyle name="20% - Accent4 2 3" xfId="165" xr:uid="{98A89A75-B985-4E4C-9DBA-BB6E6B09B416}"/>
    <cellStyle name="20% - Accent4 2 3 2" xfId="3103" xr:uid="{469B9943-BFA4-4BFD-8B34-6D04B2987554}"/>
    <cellStyle name="20% - Accent4 2 3 2 2" xfId="3104" xr:uid="{2FC5F98A-1D83-4445-8805-BDB67F0C3AB8}"/>
    <cellStyle name="20% - Accent4 2 3 2_Exist Trunk Assets - Ferry" xfId="8367" xr:uid="{EBE2BCB2-229F-49D4-B238-0762C3F67B5A}"/>
    <cellStyle name="20% - Accent4 2 3 3" xfId="3105" xr:uid="{058F05A0-8A28-4636-9945-F8FB5BD13418}"/>
    <cellStyle name="20% - Accent4 2 3 3 2" xfId="3106" xr:uid="{7B5CCDB9-DC31-4127-AF6C-EDB86BE6516D}"/>
    <cellStyle name="20% - Accent4 2 3 3_Exist Trunk Assets - Ferry" xfId="8368" xr:uid="{2CF5DA07-2406-4B3C-9590-3078CDDCD5A3}"/>
    <cellStyle name="20% - Accent4 2 3 4" xfId="3107" xr:uid="{D11E8066-F443-40CE-8CD5-74726E73073D}"/>
    <cellStyle name="20% - Accent4 2 3_Exist Trunk Assets - Ferry" xfId="8366" xr:uid="{3CFCF021-E9B9-424D-91F7-EA17433492E3}"/>
    <cellStyle name="20% - Accent4 2 4" xfId="3108" xr:uid="{FBB041DB-BFD3-4666-81D6-06DA0F8F6F7C}"/>
    <cellStyle name="20% - Accent4 2 4 2" xfId="3109" xr:uid="{7C3A84CF-F9E1-47F6-A7AE-CE4C09DC4E96}"/>
    <cellStyle name="20% - Accent4 2 4_Exist Trunk Assets - Ferry" xfId="8369" xr:uid="{702EDA8A-CB47-4796-880B-8F9D444D0875}"/>
    <cellStyle name="20% - Accent4 2 5" xfId="3110" xr:uid="{A760DA93-8909-4D9B-A6B3-972F0133098E}"/>
    <cellStyle name="20% - Accent4 2 5 2" xfId="3111" xr:uid="{8FE73A9C-56AB-482B-9B1A-C3F33696FF0C}"/>
    <cellStyle name="20% - Accent4 2 5_Exist Trunk Assets - Ferry" xfId="8370" xr:uid="{139D328B-8324-45AA-84F8-572F66CAB93B}"/>
    <cellStyle name="20% - Accent4 2 6" xfId="3112" xr:uid="{CEEC329C-216A-4D6F-B4ED-DC8E145AA230}"/>
    <cellStyle name="20% - Accent4 2 7" xfId="8128" xr:uid="{574CE31E-8793-42F0-BE70-3177E67623A2}"/>
    <cellStyle name="20% - Accent4 2_Exist Trunk Assets - Ferry" xfId="8362" xr:uid="{4111E32D-FEC1-4C67-95E8-138D49FC5E60}"/>
    <cellStyle name="20% - Accent4 20" xfId="166" xr:uid="{557F47B7-A521-4D70-95D4-B6394D94C3EC}"/>
    <cellStyle name="20% - Accent4 20 2" xfId="3113" xr:uid="{4A96A6F4-9EAD-4662-832F-736029F46CA6}"/>
    <cellStyle name="20% - Accent4 20 3" xfId="3114" xr:uid="{1B843C83-9F29-4811-8513-055C3A3B2DBC}"/>
    <cellStyle name="20% - Accent4 20 4" xfId="3115" xr:uid="{BFE029A4-1179-4E36-9F0B-130464434BEA}"/>
    <cellStyle name="20% - Accent4 21" xfId="167" xr:uid="{AE3E8503-744A-4D05-B40B-B685607B1811}"/>
    <cellStyle name="20% - Accent4 21 2" xfId="3116" xr:uid="{C80593D8-F782-4D5F-96B8-091AF8DE70E2}"/>
    <cellStyle name="20% - Accent4 21 3" xfId="3117" xr:uid="{15B9EAE5-A0B8-4EAB-89ED-9B7AF3451C03}"/>
    <cellStyle name="20% - Accent4 21 4" xfId="3118" xr:uid="{606F674B-B25F-478F-9309-964E71AAAC62}"/>
    <cellStyle name="20% - Accent4 22" xfId="168" xr:uid="{6FC580E1-CCE4-4141-96D4-1F0FB035577D}"/>
    <cellStyle name="20% - Accent4 22 2" xfId="3119" xr:uid="{D455A6A4-ECE3-4F46-B8A4-083FF7BF535A}"/>
    <cellStyle name="20% - Accent4 22 3" xfId="3120" xr:uid="{9DCC2409-E542-4506-90D2-F24A8B02EB32}"/>
    <cellStyle name="20% - Accent4 22 4" xfId="3121" xr:uid="{3DB54F86-80F0-4073-892E-52F1A31D3D1D}"/>
    <cellStyle name="20% - Accent4 23" xfId="169" xr:uid="{BF1F4928-0F43-4247-981C-3AACD5704D84}"/>
    <cellStyle name="20% - Accent4 23 2" xfId="3122" xr:uid="{7787F6A5-FC99-4CC3-A8E3-F4176B9992C7}"/>
    <cellStyle name="20% - Accent4 23 3" xfId="3123" xr:uid="{A47E9E7E-DA00-4158-B4C1-1811DABBADE0}"/>
    <cellStyle name="20% - Accent4 23 4" xfId="3124" xr:uid="{9CAC021E-A89E-4696-941D-EAB461D8AA52}"/>
    <cellStyle name="20% - Accent4 24" xfId="170" xr:uid="{08C91013-61B3-4805-ACED-6090178D0F65}"/>
    <cellStyle name="20% - Accent4 24 2" xfId="3125" xr:uid="{8B40031C-9F03-4716-B73E-C85184DE5119}"/>
    <cellStyle name="20% - Accent4 24 3" xfId="3126" xr:uid="{346BF83B-AA2B-48E6-A13C-F7C064480C92}"/>
    <cellStyle name="20% - Accent4 24 4" xfId="3127" xr:uid="{7698FE6F-DB4E-4FD6-A7D2-D1DF459145C0}"/>
    <cellStyle name="20% - Accent4 25" xfId="171" xr:uid="{A6BCE5DC-FE81-42E0-9A11-770F32375039}"/>
    <cellStyle name="20% - Accent4 25 2" xfId="3128" xr:uid="{589ABDB5-60B1-4B5E-87BA-1CFB0FCE8106}"/>
    <cellStyle name="20% - Accent4 25 3" xfId="3129" xr:uid="{838DCB63-8B5C-47AE-9630-D26315EC48EB}"/>
    <cellStyle name="20% - Accent4 25 4" xfId="3130" xr:uid="{D2C74550-9EFB-4AD8-B132-6DA430DDC493}"/>
    <cellStyle name="20% - Accent4 26" xfId="172" xr:uid="{F65DBE28-9DA5-486A-9AF6-B6486D916107}"/>
    <cellStyle name="20% - Accent4 26 2" xfId="3131" xr:uid="{4EA6F4D7-61EA-4CCD-9AED-91E87F4DE4D0}"/>
    <cellStyle name="20% - Accent4 26 3" xfId="3132" xr:uid="{0EBEB6E2-D3C0-4598-964C-6432ECCC3D0F}"/>
    <cellStyle name="20% - Accent4 26 4" xfId="3133" xr:uid="{E04EE0CD-86A0-4F9A-9DBE-621916143CD7}"/>
    <cellStyle name="20% - Accent4 27" xfId="173" xr:uid="{51FAC8A6-2375-4C0C-938F-7931423D23A6}"/>
    <cellStyle name="20% - Accent4 27 2" xfId="3134" xr:uid="{6336DDFC-A2BD-474D-81B7-525F1E58E17F}"/>
    <cellStyle name="20% - Accent4 27 3" xfId="3135" xr:uid="{B6716256-D7D9-4F73-A2E6-F7D780E1AFA1}"/>
    <cellStyle name="20% - Accent4 27 4" xfId="3136" xr:uid="{868C2F62-8DD6-40EF-8718-941CF4D85FFA}"/>
    <cellStyle name="20% - Accent4 28" xfId="174" xr:uid="{5AC10A13-5644-484C-B9FD-04E254471D11}"/>
    <cellStyle name="20% - Accent4 28 2" xfId="3137" xr:uid="{677E11D4-0B22-4749-8E59-D8757DD28C0B}"/>
    <cellStyle name="20% - Accent4 28 3" xfId="3138" xr:uid="{A5E3BC35-E81C-4239-990A-9AF16241DD01}"/>
    <cellStyle name="20% - Accent4 28 4" xfId="3139" xr:uid="{DFCBED20-C344-481A-9EEB-6F5FFCA6167A}"/>
    <cellStyle name="20% - Accent4 29" xfId="175" xr:uid="{6F6F0B01-1862-4867-B2A6-0F8542B83805}"/>
    <cellStyle name="20% - Accent4 29 2" xfId="3140" xr:uid="{190DBB5A-7233-4F6A-B7CC-86C3FCF22E14}"/>
    <cellStyle name="20% - Accent4 29 3" xfId="3141" xr:uid="{134D2F9E-36F2-4984-90C3-3CF047B14F2E}"/>
    <cellStyle name="20% - Accent4 29 4" xfId="3142" xr:uid="{39EA3A00-87A1-435A-906F-2974D7D334C9}"/>
    <cellStyle name="20% - Accent4 3" xfId="176" xr:uid="{E4582121-6C34-467B-9A7A-CA526233C542}"/>
    <cellStyle name="20% - Accent4 3 2" xfId="177" xr:uid="{821953A0-EFB6-464D-91C8-31186DF37BBA}"/>
    <cellStyle name="20% - Accent4 3 2 2" xfId="3143" xr:uid="{8AF6E2EC-D87E-4832-910C-C00D69FCCFBE}"/>
    <cellStyle name="20% - Accent4 3 2 2 2" xfId="3144" xr:uid="{7D0E212F-05D4-44D7-971F-AD8C9FC6084D}"/>
    <cellStyle name="20% - Accent4 3 2 2_Exist Trunk Assets - Ferry" xfId="8373" xr:uid="{F539C777-35DA-46B1-9263-567B2742FC0B}"/>
    <cellStyle name="20% - Accent4 3 2 3" xfId="3145" xr:uid="{507660AF-7CE1-4D91-97C0-23BB1F673DA9}"/>
    <cellStyle name="20% - Accent4 3 2 3 2" xfId="3146" xr:uid="{50AA4F60-A8E3-47F2-A140-A9D24E3ABBE8}"/>
    <cellStyle name="20% - Accent4 3 2 3_Exist Trunk Assets - Ferry" xfId="8374" xr:uid="{AA2586A4-47C2-4D70-AB26-F86BE7B51FF6}"/>
    <cellStyle name="20% - Accent4 3 2 4" xfId="3147" xr:uid="{D69B370F-92EF-4BC7-A2F6-CBCBBAFEAD14}"/>
    <cellStyle name="20% - Accent4 3 2_Exist Trunk Assets - Ferry" xfId="8372" xr:uid="{3FB671DD-220E-472E-9D25-611BA84E754D}"/>
    <cellStyle name="20% - Accent4 3 3" xfId="1842" xr:uid="{B0AA02B4-BB0E-4149-869C-A628BB13A96B}"/>
    <cellStyle name="20% - Accent4 3 3 2" xfId="3148" xr:uid="{6199B769-F59C-4AEA-A60E-C32643EA0F2F}"/>
    <cellStyle name="20% - Accent4 3 3 3" xfId="3149" xr:uid="{32431B0E-B013-40C7-803D-FED741B287DD}"/>
    <cellStyle name="20% - Accent4 3 3 4" xfId="3150" xr:uid="{2C685303-2B10-4B5A-9FA1-E98128F46818}"/>
    <cellStyle name="20% - Accent4 3 4" xfId="3151" xr:uid="{65C98574-C6E9-4D24-B04A-C1D252D9E414}"/>
    <cellStyle name="20% - Accent4 3 4 2" xfId="3152" xr:uid="{6429D82E-E5DA-401A-9877-DC137521F6D7}"/>
    <cellStyle name="20% - Accent4 3 4_Exist Trunk Assets - Ferry" xfId="8375" xr:uid="{68562305-E031-4D3D-AC53-6C20BA58185A}"/>
    <cellStyle name="20% - Accent4 3 5" xfId="3153" xr:uid="{E309A159-ED0D-4928-8AC0-C57BADCD08AA}"/>
    <cellStyle name="20% - Accent4 3 5 2" xfId="3154" xr:uid="{5E6E6177-AE43-4B19-9DDA-A0422F32D922}"/>
    <cellStyle name="20% - Accent4 3 5_Exist Trunk Assets - Ferry" xfId="8376" xr:uid="{9ABF165E-AAA1-442A-BE22-C7B445A378EE}"/>
    <cellStyle name="20% - Accent4 3 6" xfId="3155" xr:uid="{B116C98C-FEA6-4A7E-98E1-A561397558DF}"/>
    <cellStyle name="20% - Accent4 3_Exist Trunk Assets - Ferry" xfId="8371" xr:uid="{949A5A0F-CC26-4243-A3D9-4BCFF27DB2ED}"/>
    <cellStyle name="20% - Accent4 30" xfId="178" xr:uid="{B4A78081-ED2A-4C02-A945-657F631C34DF}"/>
    <cellStyle name="20% - Accent4 30 2" xfId="3156" xr:uid="{3688491F-F5D9-42A4-9F71-C10F30BD79B1}"/>
    <cellStyle name="20% - Accent4 30 3" xfId="3157" xr:uid="{DB2ACA4F-844F-4191-B481-FDA3C645437E}"/>
    <cellStyle name="20% - Accent4 30 4" xfId="3158" xr:uid="{6AAD70E4-BF5A-41DC-81A2-2367384300EF}"/>
    <cellStyle name="20% - Accent4 31" xfId="179" xr:uid="{BE5FD972-EC88-4D0C-A968-FE1A9877C8C3}"/>
    <cellStyle name="20% - Accent4 31 2" xfId="3159" xr:uid="{FF2562BA-72B4-4B1D-8FAC-B28130ABFE57}"/>
    <cellStyle name="20% - Accent4 31 3" xfId="3160" xr:uid="{02D574F0-AE7D-4A02-9B37-81836A8C5512}"/>
    <cellStyle name="20% - Accent4 31 4" xfId="3161" xr:uid="{F9398708-4AA3-425E-888E-53AAC1CC9929}"/>
    <cellStyle name="20% - Accent4 32" xfId="180" xr:uid="{CE6D26A4-6804-41D7-9445-C4C61626FB43}"/>
    <cellStyle name="20% - Accent4 32 2" xfId="3162" xr:uid="{51626577-7489-43A2-B0CE-3EE0B48845BF}"/>
    <cellStyle name="20% - Accent4 32 3" xfId="3163" xr:uid="{8A029C22-ED96-4696-84AA-01A5E1FD33DB}"/>
    <cellStyle name="20% - Accent4 32 4" xfId="3164" xr:uid="{CFE979BE-3FB4-4320-A112-4C0ACE68CF3C}"/>
    <cellStyle name="20% - Accent4 33" xfId="181" xr:uid="{C337EFC7-F93A-4634-BFA0-E6F4D0DE1D25}"/>
    <cellStyle name="20% - Accent4 33 2" xfId="3165" xr:uid="{9E07FC16-8FC1-4A5D-B2C1-34AC8354F846}"/>
    <cellStyle name="20% - Accent4 33 3" xfId="3166" xr:uid="{813DE7F2-851D-4353-8D42-A1B2822CA818}"/>
    <cellStyle name="20% - Accent4 33 4" xfId="3167" xr:uid="{FD39E493-5856-4B81-8140-287DFF61D496}"/>
    <cellStyle name="20% - Accent4 34" xfId="182" xr:uid="{4C6F39EA-E4D4-4318-B3DE-54EDB5389874}"/>
    <cellStyle name="20% - Accent4 34 2" xfId="3168" xr:uid="{F00CFDA5-126B-44D9-A242-C9AE93F1D4D1}"/>
    <cellStyle name="20% - Accent4 34 3" xfId="3169" xr:uid="{81A6F8BE-1498-48BF-95A0-9C69F7798EB1}"/>
    <cellStyle name="20% - Accent4 34 4" xfId="3170" xr:uid="{40E81821-906E-4F4C-B0A5-43E4F1FF9840}"/>
    <cellStyle name="20% - Accent4 35" xfId="183" xr:uid="{89BAC1CD-DFBF-48F3-9D3D-9C15D61D3D20}"/>
    <cellStyle name="20% - Accent4 35 2" xfId="3171" xr:uid="{429F1CFF-BC5C-4670-AA9C-B386B02F5FF1}"/>
    <cellStyle name="20% - Accent4 35 3" xfId="3172" xr:uid="{47F4D32F-B29E-46AD-B8D3-E2E2D3CCF374}"/>
    <cellStyle name="20% - Accent4 35 4" xfId="3173" xr:uid="{615CC754-2828-440E-A472-A89CBE29E4CE}"/>
    <cellStyle name="20% - Accent4 36" xfId="184" xr:uid="{634FD0DD-DC53-40F0-B037-F46E82833B31}"/>
    <cellStyle name="20% - Accent4 36 2" xfId="3174" xr:uid="{7B10D81B-53E2-4FB1-BD4D-DBD8EDBF865A}"/>
    <cellStyle name="20% - Accent4 36 3" xfId="3175" xr:uid="{22A44B0D-6E93-4E90-91A4-2251208A8A23}"/>
    <cellStyle name="20% - Accent4 36 4" xfId="3176" xr:uid="{66D5E21A-6A9D-4E34-97D6-9847BD5E4ACA}"/>
    <cellStyle name="20% - Accent4 37" xfId="185" xr:uid="{8B59048E-F1F5-4B20-9096-A9A54CC9DB7B}"/>
    <cellStyle name="20% - Accent4 37 2" xfId="3177" xr:uid="{E19C84AA-3D14-437D-B522-4431188E4AC3}"/>
    <cellStyle name="20% - Accent4 37 3" xfId="3178" xr:uid="{AEA449AE-5E70-4E79-A5B6-C4523B26F818}"/>
    <cellStyle name="20% - Accent4 37 4" xfId="3179" xr:uid="{A8574B5D-DA88-4FB4-850B-9676F83C3D1F}"/>
    <cellStyle name="20% - Accent4 38" xfId="186" xr:uid="{F28AD483-5988-4D5E-B7B6-E9E13F5D00CB}"/>
    <cellStyle name="20% - Accent4 38 2" xfId="3180" xr:uid="{50B5B7CD-5603-4628-96ED-C9E8B55D0ED5}"/>
    <cellStyle name="20% - Accent4 38 3" xfId="3181" xr:uid="{1791010E-9385-4CE3-AB05-8971C85CABCC}"/>
    <cellStyle name="20% - Accent4 38 4" xfId="3182" xr:uid="{C10EB692-7153-4AF6-B8FA-4095265473CA}"/>
    <cellStyle name="20% - Accent4 39" xfId="187" xr:uid="{74D1CC50-C85F-4422-8A2C-A04563019021}"/>
    <cellStyle name="20% - Accent4 39 2" xfId="3183" xr:uid="{DA5490B3-27CE-4B05-AEB8-4EAB922859D0}"/>
    <cellStyle name="20% - Accent4 39 3" xfId="3184" xr:uid="{F2C4BAAB-8992-4B11-98BB-89021149499E}"/>
    <cellStyle name="20% - Accent4 39 4" xfId="3185" xr:uid="{C4DA26D6-A4AE-4229-9C9F-12C80EF913B0}"/>
    <cellStyle name="20% - Accent4 4" xfId="188" xr:uid="{0E8E8A4A-76F8-4E47-8453-1DDEB9408117}"/>
    <cellStyle name="20% - Accent4 4 2" xfId="189" xr:uid="{651DC181-6CEB-4572-B9BD-3F36845AFEF6}"/>
    <cellStyle name="20% - Accent4 4 2 2" xfId="3186" xr:uid="{16807466-0C80-4F6D-8ECC-FCFAB458EF4D}"/>
    <cellStyle name="20% - Accent4 4 2 2 2" xfId="3187" xr:uid="{EA20BA23-EA3E-45EB-87E9-8FCABC83596D}"/>
    <cellStyle name="20% - Accent4 4 2 2_Exist Trunk Assets - Ferry" xfId="8379" xr:uid="{BF8B8D2E-23AD-4877-B5AA-E9C2C2F69EE4}"/>
    <cellStyle name="20% - Accent4 4 2 3" xfId="3188" xr:uid="{DB00EDB1-5A37-4518-A731-6D2DBCC7CCAE}"/>
    <cellStyle name="20% - Accent4 4 2 3 2" xfId="3189" xr:uid="{ED235954-A211-4F3F-B7BD-F77ED7FBAF0D}"/>
    <cellStyle name="20% - Accent4 4 2 3_Exist Trunk Assets - Ferry" xfId="8380" xr:uid="{D699599F-FEE4-4009-8927-BA3CE413EB96}"/>
    <cellStyle name="20% - Accent4 4 2 4" xfId="3190" xr:uid="{4AEEAEFC-0240-4C71-B760-398F72FB6E0B}"/>
    <cellStyle name="20% - Accent4 4 2_Exist Trunk Assets - Ferry" xfId="8378" xr:uid="{0660A21F-F2FC-4C89-B31D-2CAC229E7AAF}"/>
    <cellStyle name="20% - Accent4 4 3" xfId="1843" xr:uid="{30C440F4-3A0B-47B2-9552-C9AE1EC4F7CE}"/>
    <cellStyle name="20% - Accent4 4 3 2" xfId="3191" xr:uid="{FD0A9959-770C-4FC8-8EF5-DD54ED656238}"/>
    <cellStyle name="20% - Accent4 4 3 3" xfId="3192" xr:uid="{EAC6A927-9D2B-4CA9-8189-6A22B01AF43F}"/>
    <cellStyle name="20% - Accent4 4 3 4" xfId="3193" xr:uid="{0508CBD9-811C-4856-992E-84616EDEA9DC}"/>
    <cellStyle name="20% - Accent4 4 4" xfId="3194" xr:uid="{B76FB4EA-9615-4540-8D27-AFF66FBDBF11}"/>
    <cellStyle name="20% - Accent4 4 4 2" xfId="3195" xr:uid="{25EF4279-CF7A-49A3-95BE-9F26CF5ED819}"/>
    <cellStyle name="20% - Accent4 4 4_Exist Trunk Assets - Ferry" xfId="8381" xr:uid="{2859C814-1D36-419D-B7E4-DEB128AF8F31}"/>
    <cellStyle name="20% - Accent4 4 5" xfId="3196" xr:uid="{B55A1CAB-A2F9-48C9-ACFB-A686FCED701D}"/>
    <cellStyle name="20% - Accent4 4 5 2" xfId="3197" xr:uid="{08844AAB-2567-4D07-BBF2-692EC4CF1F13}"/>
    <cellStyle name="20% - Accent4 4 5_Exist Trunk Assets - Ferry" xfId="8382" xr:uid="{7AE0C0D1-61C0-4F70-82C9-121B6B000946}"/>
    <cellStyle name="20% - Accent4 4 6" xfId="3198" xr:uid="{179935E4-981B-48A0-A21E-D089000AD0DF}"/>
    <cellStyle name="20% - Accent4 4_Exist Trunk Assets - Ferry" xfId="8377" xr:uid="{27757897-3659-4F24-954E-770D204DA3B2}"/>
    <cellStyle name="20% - Accent4 40" xfId="190" xr:uid="{699F2A3B-1380-41EE-981F-332989C1B03B}"/>
    <cellStyle name="20% - Accent4 40 2" xfId="3199" xr:uid="{1E4D3493-5C9C-45B3-9092-403F04BA8410}"/>
    <cellStyle name="20% - Accent4 40 3" xfId="3200" xr:uid="{AFAA9B18-3873-4880-97BE-07257E24D811}"/>
    <cellStyle name="20% - Accent4 40 4" xfId="3201" xr:uid="{0D9B4AB1-D380-432D-BBA9-9990887DB83E}"/>
    <cellStyle name="20% - Accent4 5" xfId="191" xr:uid="{9265EEDA-7A99-43E5-B2DD-63D90383CAB1}"/>
    <cellStyle name="20% - Accent4 5 2" xfId="1841" xr:uid="{DD3400F3-94EC-48C6-B484-D7CBD00FF6DB}"/>
    <cellStyle name="20% - Accent4 5 2 2" xfId="2376" xr:uid="{BAA7FAF4-1EFD-4FEC-B703-5520287EEBE2}"/>
    <cellStyle name="20% - Accent4 5 2 2 2" xfId="3202" xr:uid="{2E686BB8-4930-4CB7-8BF7-485B8A9B71C0}"/>
    <cellStyle name="20% - Accent4 5 2 2 2 2" xfId="3203" xr:uid="{C67DB6B7-A30F-4E89-9DC8-375845613F36}"/>
    <cellStyle name="20% - Accent4 5 2 2 2_Exist Trunk Assets - Ferry" xfId="8385" xr:uid="{CC800A7F-EEA6-43F7-A5BF-C2B1FBC5D777}"/>
    <cellStyle name="20% - Accent4 5 2 2 3" xfId="3204" xr:uid="{8E7C2710-B72E-4A26-8993-A69599B3776D}"/>
    <cellStyle name="20% - Accent4 5 2 2 3 2" xfId="3205" xr:uid="{F411FD28-7D0F-4920-8146-23F74D1E0616}"/>
    <cellStyle name="20% - Accent4 5 2 2 3_Exist Trunk Assets - Ferry" xfId="8386" xr:uid="{FB4570EC-F572-4654-B17D-AF7B5FD4AD9E}"/>
    <cellStyle name="20% - Accent4 5 2 2 4" xfId="3206" xr:uid="{E13FE8DB-93F9-4C93-9665-EA46FC392E5D}"/>
    <cellStyle name="20% - Accent4 5 2 2_Exist Trunk Assets - Ferry" xfId="8384" xr:uid="{C6F8390E-BE20-4D0F-B8BC-421CE234E08B}"/>
    <cellStyle name="20% - Accent4 5 2 3" xfId="3207" xr:uid="{644FBF5A-E001-4579-9964-A6D4DBB814B3}"/>
    <cellStyle name="20% - Accent4 5 2 4" xfId="3208" xr:uid="{721A68D7-3220-4B42-8713-8DB762B3090F}"/>
    <cellStyle name="20% - Accent4 5 2 5" xfId="3209" xr:uid="{BAB6DC44-0292-4FF7-A1FA-AEFB4E9C644C}"/>
    <cellStyle name="20% - Accent4 5 3" xfId="3210" xr:uid="{92BEF732-3BC2-4285-B565-C373A4FE3BF9}"/>
    <cellStyle name="20% - Accent4 5 3 2" xfId="3211" xr:uid="{390F563D-E8A4-4896-8088-A37B76D41135}"/>
    <cellStyle name="20% - Accent4 5 3_Exist Trunk Assets - Ferry" xfId="8387" xr:uid="{2316FE4E-C9D3-407F-A219-D6AD5578B0D3}"/>
    <cellStyle name="20% - Accent4 5 4" xfId="3212" xr:uid="{5547DA82-A56E-4D4E-B3EB-A1E26624965D}"/>
    <cellStyle name="20% - Accent4 5 4 2" xfId="3213" xr:uid="{A3F576B9-153A-49A3-9C9C-1D592F700B75}"/>
    <cellStyle name="20% - Accent4 5 4_Exist Trunk Assets - Ferry" xfId="8388" xr:uid="{91EA1315-B368-433D-9E2C-6A9E190BABA9}"/>
    <cellStyle name="20% - Accent4 5 5" xfId="3214" xr:uid="{99BBF5C6-8E15-4F04-95AB-1E1BF091EA3C}"/>
    <cellStyle name="20% - Accent4 5_Exist Trunk Assets - Ferry" xfId="8383" xr:uid="{925FF8CC-1592-48D8-A402-6DA0E490A541}"/>
    <cellStyle name="20% - Accent4 6" xfId="192" xr:uid="{AE1C3A17-D298-43C9-88AD-20916186148E}"/>
    <cellStyle name="20% - Accent4 6 2" xfId="3215" xr:uid="{06E41EFE-8499-4311-80D3-BD933D868B43}"/>
    <cellStyle name="20% - Accent4 6 3" xfId="3216" xr:uid="{67EB263F-08B2-4711-A058-35A8A2906AC7}"/>
    <cellStyle name="20% - Accent4 6 4" xfId="3217" xr:uid="{0B0B3948-7248-4656-9594-39F0DA1BC710}"/>
    <cellStyle name="20% - Accent4 7" xfId="193" xr:uid="{A947AB5B-41D9-40BF-8C75-53B404BCDB60}"/>
    <cellStyle name="20% - Accent4 7 2" xfId="3218" xr:uid="{4E8F83FA-7580-4243-8C3E-CF52BD30EB4A}"/>
    <cellStyle name="20% - Accent4 7 3" xfId="3219" xr:uid="{F8483882-E9C3-4FA8-AD31-11DBBEF2201B}"/>
    <cellStyle name="20% - Accent4 7 4" xfId="3220" xr:uid="{1ECC2901-BB51-4E81-9128-79A228B140EA}"/>
    <cellStyle name="20% - Accent4 8" xfId="194" xr:uid="{860D4F2F-0784-4BC5-8F27-A732A6E7C843}"/>
    <cellStyle name="20% - Accent4 8 2" xfId="3221" xr:uid="{79D8E7CD-06A7-4CD7-A6D7-0D872B201C0A}"/>
    <cellStyle name="20% - Accent4 8 3" xfId="3222" xr:uid="{61469B79-F28E-4C66-AD4A-9B4DE57020A3}"/>
    <cellStyle name="20% - Accent4 8 4" xfId="3223" xr:uid="{6561C20A-FF18-4924-86CD-EEC536064BEE}"/>
    <cellStyle name="20% - Accent4 9" xfId="195" xr:uid="{427A62E2-56F7-4B87-94D1-2306EF8D717E}"/>
    <cellStyle name="20% - Accent4 9 2" xfId="3224" xr:uid="{660B3A21-52AE-44AF-91C2-37FFDE8E2A66}"/>
    <cellStyle name="20% - Accent4 9 3" xfId="3225" xr:uid="{951DDE5A-69F8-41CF-8378-BFF1EE8AD7C8}"/>
    <cellStyle name="20% - Accent4 9 4" xfId="3226" xr:uid="{56470233-002E-4D48-81E4-992BFDC9B6E5}"/>
    <cellStyle name="20% - Accent5 10" xfId="196" xr:uid="{E32778B0-678B-49D1-93E5-67EFEC86C682}"/>
    <cellStyle name="20% - Accent5 10 2" xfId="3227" xr:uid="{D1196E5E-966E-44E1-AC6D-2418A35D8CC3}"/>
    <cellStyle name="20% - Accent5 10 3" xfId="3228" xr:uid="{B59CA269-1D69-49A8-A65E-5DC5FF938B0B}"/>
    <cellStyle name="20% - Accent5 10 4" xfId="3229" xr:uid="{07BAC341-F663-4DB2-A5F0-947399C676E6}"/>
    <cellStyle name="20% - Accent5 11" xfId="197" xr:uid="{3E7BE465-DFF9-471B-8011-2AA7D096D0D6}"/>
    <cellStyle name="20% - Accent5 11 2" xfId="3230" xr:uid="{29FAACA7-1C78-4E61-9875-4DD284BDA103}"/>
    <cellStyle name="20% - Accent5 11 3" xfId="3231" xr:uid="{E877B12A-F2CD-4884-AA7C-9C962ADF548C}"/>
    <cellStyle name="20% - Accent5 11 4" xfId="3232" xr:uid="{E1051A54-F28F-4CD2-827C-BFB203AA94C5}"/>
    <cellStyle name="20% - Accent5 12" xfId="198" xr:uid="{0CCFEF6E-9215-4CA6-8E0A-C33016A0C966}"/>
    <cellStyle name="20% - Accent5 12 2" xfId="3233" xr:uid="{3ECB55DB-E625-42B9-968F-C6ED854832FE}"/>
    <cellStyle name="20% - Accent5 12 3" xfId="3234" xr:uid="{06EAD5B8-32D8-43EF-8820-C4E9AEDEACFD}"/>
    <cellStyle name="20% - Accent5 12 4" xfId="3235" xr:uid="{8B4464A5-9B41-48E3-9412-9CB7E9D86EE3}"/>
    <cellStyle name="20% - Accent5 13" xfId="199" xr:uid="{26E679CF-7432-4A33-8D7B-9EF6756D84BE}"/>
    <cellStyle name="20% - Accent5 13 2" xfId="3236" xr:uid="{BFFCE842-F095-44BC-8B7D-A7B61C33CC81}"/>
    <cellStyle name="20% - Accent5 13 3" xfId="3237" xr:uid="{B5429586-6436-4524-8625-DA1CC80E9253}"/>
    <cellStyle name="20% - Accent5 13 4" xfId="3238" xr:uid="{429334F8-2E1A-4122-B8BE-6BC65E7D3F4D}"/>
    <cellStyle name="20% - Accent5 14" xfId="200" xr:uid="{14209355-21F2-48AD-B7C5-EC04B31BF055}"/>
    <cellStyle name="20% - Accent5 14 2" xfId="3239" xr:uid="{27F642F6-00D1-4D4D-946A-5E3C0D441D30}"/>
    <cellStyle name="20% - Accent5 14 3" xfId="3240" xr:uid="{8453CC42-04F2-4A01-A815-C5C453D608BA}"/>
    <cellStyle name="20% - Accent5 14 4" xfId="3241" xr:uid="{71981172-25B7-4B0C-8DF0-7DC46617325A}"/>
    <cellStyle name="20% - Accent5 15" xfId="201" xr:uid="{F892DA8C-9B80-4542-8885-CADE431C51AC}"/>
    <cellStyle name="20% - Accent5 15 2" xfId="3242" xr:uid="{836D757E-E3A5-44C9-AA92-8844436954D7}"/>
    <cellStyle name="20% - Accent5 15 3" xfId="3243" xr:uid="{191DC94E-870F-4BA4-9347-6EE6C14A09D9}"/>
    <cellStyle name="20% - Accent5 15 4" xfId="3244" xr:uid="{43960FB2-AAC7-4131-94D3-7A898F3516E5}"/>
    <cellStyle name="20% - Accent5 16" xfId="202" xr:uid="{8ACDF3F6-C844-41F9-AD46-F1C2D6E39791}"/>
    <cellStyle name="20% - Accent5 16 2" xfId="3245" xr:uid="{0B35FFC5-D595-4C28-A3EA-9B9DEF773EAC}"/>
    <cellStyle name="20% - Accent5 16 3" xfId="3246" xr:uid="{5BAB421C-DF36-4DCB-8681-9102369F8F76}"/>
    <cellStyle name="20% - Accent5 16 4" xfId="3247" xr:uid="{33580416-DDEE-4CC0-8938-6E80ECB71019}"/>
    <cellStyle name="20% - Accent5 17" xfId="203" xr:uid="{32353BD2-ED8F-45C7-B9F1-D14E4BF9784E}"/>
    <cellStyle name="20% - Accent5 17 2" xfId="3248" xr:uid="{D411D070-FF74-477D-820D-DDBD88C5F2C5}"/>
    <cellStyle name="20% - Accent5 17 3" xfId="3249" xr:uid="{60AEA072-7153-49D6-B9F5-EF2942F64FDD}"/>
    <cellStyle name="20% - Accent5 17 4" xfId="3250" xr:uid="{E12AD420-D1FA-4C9C-83DE-C32A689CD119}"/>
    <cellStyle name="20% - Accent5 18" xfId="204" xr:uid="{06998FA2-806B-45DE-8B1B-EF8E7D65B504}"/>
    <cellStyle name="20% - Accent5 18 2" xfId="3251" xr:uid="{405F7024-4884-433E-BED8-0178E76B49EF}"/>
    <cellStyle name="20% - Accent5 18 3" xfId="3252" xr:uid="{292E3357-13BE-480A-AFBB-77862D3A84BF}"/>
    <cellStyle name="20% - Accent5 18 4" xfId="3253" xr:uid="{6EED3AE7-E2DA-4ECD-96BD-76697E4A42BD}"/>
    <cellStyle name="20% - Accent5 19" xfId="205" xr:uid="{D93D08FF-9471-4D10-B81D-3A33D634C56B}"/>
    <cellStyle name="20% - Accent5 19 2" xfId="3254" xr:uid="{C4C369E6-2A71-4399-896B-247817D26C60}"/>
    <cellStyle name="20% - Accent5 19 3" xfId="3255" xr:uid="{C00ED18C-2AE7-4E3E-AEF7-CE7711D8BCB3}"/>
    <cellStyle name="20% - Accent5 19 4" xfId="3256" xr:uid="{C3256441-7984-4DFF-B6DF-4AD36C4ABA01}"/>
    <cellStyle name="20% - Accent5 2" xfId="206" xr:uid="{CFEF2427-3583-4EE4-B4CA-C6A174716EC5}"/>
    <cellStyle name="20% - Accent5 2 2" xfId="207" xr:uid="{AFCDF495-CAA3-4B37-BFE3-4E7C89D32B42}"/>
    <cellStyle name="20% - Accent5 2 2 2" xfId="2378" xr:uid="{B44AAAC5-8A52-43C4-9E4A-13079AD03208}"/>
    <cellStyle name="20% - Accent5 2 2 2 2" xfId="3257" xr:uid="{F4AF7A81-F938-4677-8FE1-C8A9630CADB8}"/>
    <cellStyle name="20% - Accent5 2 2 2 3" xfId="3258" xr:uid="{DD0B2380-C3C0-4B24-B06F-F329389BE574}"/>
    <cellStyle name="20% - Accent5 2 2 2 4" xfId="3259" xr:uid="{CEC5C0F6-37B3-4134-9D75-E76CAFC46A09}"/>
    <cellStyle name="20% - Accent5 2 2 3" xfId="2377" xr:uid="{D502AFCF-167F-41F2-B597-12ED25A13604}"/>
    <cellStyle name="20% - Accent5 2 2 3 2" xfId="3260" xr:uid="{2A23E48D-23EA-4310-B894-7CF527EB778A}"/>
    <cellStyle name="20% - Accent5 2 2 3 2 2" xfId="3261" xr:uid="{35F3F42E-C8ED-4FC9-96C9-8EFDA631DD92}"/>
    <cellStyle name="20% - Accent5 2 2 3 2_Exist Trunk Assets - Ferry" xfId="8391" xr:uid="{786269E5-2C33-4930-A343-ACCA07EF9573}"/>
    <cellStyle name="20% - Accent5 2 2 3 3" xfId="3262" xr:uid="{30612389-5B57-4BD8-8BAE-689DE181F444}"/>
    <cellStyle name="20% - Accent5 2 2 3 3 2" xfId="3263" xr:uid="{D7BAC779-1D42-44BA-80F1-4EE193782AB6}"/>
    <cellStyle name="20% - Accent5 2 2 3 3_Exist Trunk Assets - Ferry" xfId="8392" xr:uid="{D2F9583C-C069-44AB-9916-B893FF39A4EA}"/>
    <cellStyle name="20% - Accent5 2 2 3 4" xfId="3264" xr:uid="{4D858ACE-D93B-490F-AEE6-C16B5568D87E}"/>
    <cellStyle name="20% - Accent5 2 2 3_Exist Trunk Assets - Ferry" xfId="8390" xr:uid="{7D112FDF-8122-4ED5-B617-E772317A4ACA}"/>
    <cellStyle name="20% - Accent5 2 2 4" xfId="3265" xr:uid="{579458B0-CEA9-4FF3-9D03-7C3A4C97B95D}"/>
    <cellStyle name="20% - Accent5 2 2 5" xfId="3266" xr:uid="{84929542-7274-471B-8359-55D7AFCF738F}"/>
    <cellStyle name="20% - Accent5 2 2 6" xfId="3267" xr:uid="{8CF6A7B9-6F51-44AA-8629-3971F252A922}"/>
    <cellStyle name="20% - Accent5 2 3" xfId="208" xr:uid="{C947639C-66E5-4A8D-80CE-D76A18CF306B}"/>
    <cellStyle name="20% - Accent5 2 3 2" xfId="3268" xr:uid="{4F97B8C9-92D1-4722-9359-68330F7DFBA0}"/>
    <cellStyle name="20% - Accent5 2 3 2 2" xfId="3269" xr:uid="{77005898-7FC2-422B-8217-192AA84AD5A1}"/>
    <cellStyle name="20% - Accent5 2 3 2_Exist Trunk Assets - Ferry" xfId="8394" xr:uid="{F47C9CBA-C3F0-4741-9BBE-54AC9F95D31F}"/>
    <cellStyle name="20% - Accent5 2 3 3" xfId="3270" xr:uid="{AA95FA48-820F-4B2A-82CF-1E4618144869}"/>
    <cellStyle name="20% - Accent5 2 3 3 2" xfId="3271" xr:uid="{409CB440-3AB4-46B7-A091-B010FBD545E0}"/>
    <cellStyle name="20% - Accent5 2 3 3_Exist Trunk Assets - Ferry" xfId="8395" xr:uid="{C8DACC29-5252-41D7-BFC1-92FF59356064}"/>
    <cellStyle name="20% - Accent5 2 3 4" xfId="3272" xr:uid="{EC321647-02AB-46A2-A885-857CC00EF76A}"/>
    <cellStyle name="20% - Accent5 2 3_Exist Trunk Assets - Ferry" xfId="8393" xr:uid="{F30B2543-EE35-4EB3-BDAF-1239885CDDC9}"/>
    <cellStyle name="20% - Accent5 2 4" xfId="3273" xr:uid="{8860A1B8-32C5-448A-B5D1-6E92AF6D90FB}"/>
    <cellStyle name="20% - Accent5 2 4 2" xfId="3274" xr:uid="{8CF83A85-5CBE-4462-9DD4-82C320442F7D}"/>
    <cellStyle name="20% - Accent5 2 4_Exist Trunk Assets - Ferry" xfId="8396" xr:uid="{F1FAC84C-2218-454A-87DB-1B6ACF767257}"/>
    <cellStyle name="20% - Accent5 2 5" xfId="3275" xr:uid="{AFC0A1E1-50B8-4314-B0B1-BBB60A120492}"/>
    <cellStyle name="20% - Accent5 2 5 2" xfId="3276" xr:uid="{C4774172-C046-4BEA-9544-934BBB6C7B0E}"/>
    <cellStyle name="20% - Accent5 2 5_Exist Trunk Assets - Ferry" xfId="8397" xr:uid="{E789172C-BB28-49CE-A41D-2D67D6E2D67F}"/>
    <cellStyle name="20% - Accent5 2 6" xfId="3277" xr:uid="{6DACA689-7010-498E-9F54-B7FE78414E0D}"/>
    <cellStyle name="20% - Accent5 2 7" xfId="8129" xr:uid="{929EC3E0-DAFD-4A07-8AC3-A34986C84A1F}"/>
    <cellStyle name="20% - Accent5 2_Exist Trunk Assets - Ferry" xfId="8389" xr:uid="{163A9CBA-8089-485D-9AE9-4739E5BFE3FD}"/>
    <cellStyle name="20% - Accent5 20" xfId="209" xr:uid="{07040386-A52B-4976-8EC1-462650D0649F}"/>
    <cellStyle name="20% - Accent5 20 2" xfId="3278" xr:uid="{435AE2DB-46BD-407F-97FC-3A876134FDC3}"/>
    <cellStyle name="20% - Accent5 20 3" xfId="3279" xr:uid="{836DEC1E-E6C0-4B25-8DE8-9784F26A160D}"/>
    <cellStyle name="20% - Accent5 20 4" xfId="3280" xr:uid="{D3DB4155-3AED-48DD-9183-1469512060B7}"/>
    <cellStyle name="20% - Accent5 21" xfId="210" xr:uid="{C4002426-EDAB-4FDD-B5B8-7D9EEBAF07A1}"/>
    <cellStyle name="20% - Accent5 21 2" xfId="3281" xr:uid="{1DBC8861-F59D-4C96-B2F7-901DDF063409}"/>
    <cellStyle name="20% - Accent5 21 3" xfId="3282" xr:uid="{736DBD52-3B29-40C9-8995-67E31805ACBA}"/>
    <cellStyle name="20% - Accent5 21 4" xfId="3283" xr:uid="{1D846997-2FE3-4286-BB3A-8E0D4F748E5E}"/>
    <cellStyle name="20% - Accent5 22" xfId="211" xr:uid="{053697AC-240E-4F7C-98FE-628508B44464}"/>
    <cellStyle name="20% - Accent5 22 2" xfId="3284" xr:uid="{F91E7E54-D652-45A0-8F51-6E64850E1558}"/>
    <cellStyle name="20% - Accent5 22 3" xfId="3285" xr:uid="{03AD1199-23EA-44C4-A920-AD1B5C818D66}"/>
    <cellStyle name="20% - Accent5 22 4" xfId="3286" xr:uid="{F57703AB-7CCA-4465-8A04-58A3004B83C3}"/>
    <cellStyle name="20% - Accent5 23" xfId="212" xr:uid="{4616FC21-8A56-4777-934F-D2A649802E4B}"/>
    <cellStyle name="20% - Accent5 23 2" xfId="3287" xr:uid="{9DCDC30D-77B8-4162-BE23-FC71EA2F10DD}"/>
    <cellStyle name="20% - Accent5 23 3" xfId="3288" xr:uid="{50BDCAC9-0618-455C-BDE7-26DB8593CBC7}"/>
    <cellStyle name="20% - Accent5 23 4" xfId="3289" xr:uid="{3E8A2383-BB9D-4825-92A9-6F93F6F50195}"/>
    <cellStyle name="20% - Accent5 24" xfId="213" xr:uid="{7A5AB25E-DD91-4A5F-8799-6C6DF788D99D}"/>
    <cellStyle name="20% - Accent5 24 2" xfId="3290" xr:uid="{EA1EE5AE-F4FD-4BB1-9C47-1C81E8C01D02}"/>
    <cellStyle name="20% - Accent5 24 3" xfId="3291" xr:uid="{D3316602-7D93-49CC-A380-E3B1DA52FB2B}"/>
    <cellStyle name="20% - Accent5 24 4" xfId="3292" xr:uid="{BE728FE9-BFEB-467F-9D9E-01D69EE19A6A}"/>
    <cellStyle name="20% - Accent5 25" xfId="214" xr:uid="{0CA33EAB-857A-4DCA-9843-12A216010E81}"/>
    <cellStyle name="20% - Accent5 25 2" xfId="3293" xr:uid="{9EC6A799-6258-461A-B699-49BEEA00F35C}"/>
    <cellStyle name="20% - Accent5 25 3" xfId="3294" xr:uid="{A995462C-1555-4ED3-A2F8-3FC4EAC9C3C0}"/>
    <cellStyle name="20% - Accent5 25 4" xfId="3295" xr:uid="{F4FBF987-E3FD-47E0-8B67-06A7EFF1929E}"/>
    <cellStyle name="20% - Accent5 26" xfId="215" xr:uid="{D3C5B8E2-9113-44D2-9DE5-FEBD17EB1544}"/>
    <cellStyle name="20% - Accent5 26 2" xfId="3296" xr:uid="{03204075-A46E-48AE-958D-6E835AFCE303}"/>
    <cellStyle name="20% - Accent5 26 3" xfId="3297" xr:uid="{92AED3E7-3626-48A4-9161-7B02C0A55A1B}"/>
    <cellStyle name="20% - Accent5 26 4" xfId="3298" xr:uid="{935025CA-3D91-43DA-B48E-5E5E52320613}"/>
    <cellStyle name="20% - Accent5 27" xfId="216" xr:uid="{708F992F-1F03-44DA-A52C-4DFCDA7BEC0E}"/>
    <cellStyle name="20% - Accent5 27 2" xfId="3299" xr:uid="{73B9D4A7-3098-4399-A160-562D6B3A28E2}"/>
    <cellStyle name="20% - Accent5 27 3" xfId="3300" xr:uid="{1AE9A1A2-25F8-4D24-A93E-C3070E4FD4D7}"/>
    <cellStyle name="20% - Accent5 27 4" xfId="3301" xr:uid="{4A849944-A0E1-41AE-958B-E9607D5B1280}"/>
    <cellStyle name="20% - Accent5 28" xfId="217" xr:uid="{77C70EA2-69DD-4A17-8666-4249A801CB95}"/>
    <cellStyle name="20% - Accent5 28 2" xfId="3302" xr:uid="{14282DA3-7ED1-4BE2-AC51-C8971FCFD75D}"/>
    <cellStyle name="20% - Accent5 28 3" xfId="3303" xr:uid="{4506607E-0188-4A59-8698-114A3897F43E}"/>
    <cellStyle name="20% - Accent5 28 4" xfId="3304" xr:uid="{AF5D3FA1-00B5-4F6F-BFAA-00FF41736F65}"/>
    <cellStyle name="20% - Accent5 29" xfId="218" xr:uid="{7F7A43EE-FDB0-4DF6-8064-21CA0BDA647F}"/>
    <cellStyle name="20% - Accent5 29 2" xfId="3305" xr:uid="{D4E425EE-C05F-411D-A771-95EBCE86017F}"/>
    <cellStyle name="20% - Accent5 29 3" xfId="3306" xr:uid="{A129B4CB-E49C-42E4-9B30-E53DE5B84971}"/>
    <cellStyle name="20% - Accent5 29 4" xfId="3307" xr:uid="{E42AC7EC-2B95-4D33-B1B7-1D9E13E6F3E7}"/>
    <cellStyle name="20% - Accent5 3" xfId="219" xr:uid="{FE6E12DF-E26C-4855-992F-5A32A69522A1}"/>
    <cellStyle name="20% - Accent5 3 2" xfId="220" xr:uid="{CD7498D3-75A5-4F8F-ABC2-2B38C4A46482}"/>
    <cellStyle name="20% - Accent5 3 2 2" xfId="3308" xr:uid="{A5D3B9E5-C0D7-4BD6-AB79-28942DF616D0}"/>
    <cellStyle name="20% - Accent5 3 2 2 2" xfId="3309" xr:uid="{D123972E-5937-4951-8039-A5D4F1CE5CA4}"/>
    <cellStyle name="20% - Accent5 3 2 2_Exist Trunk Assets - Ferry" xfId="8400" xr:uid="{D842B506-0BB6-400E-A291-513E5B701C0B}"/>
    <cellStyle name="20% - Accent5 3 2 3" xfId="3310" xr:uid="{8B6FD19C-682C-4CFF-8D26-205A83900B81}"/>
    <cellStyle name="20% - Accent5 3 2 3 2" xfId="3311" xr:uid="{44F40C50-0CDF-4B4C-96E5-75D8163D1B78}"/>
    <cellStyle name="20% - Accent5 3 2 3_Exist Trunk Assets - Ferry" xfId="8401" xr:uid="{D7BF6C55-A619-4B79-9C09-9B20F5324B33}"/>
    <cellStyle name="20% - Accent5 3 2 4" xfId="3312" xr:uid="{52758831-5AD5-4BC1-BF3D-858053A79101}"/>
    <cellStyle name="20% - Accent5 3 2_Exist Trunk Assets - Ferry" xfId="8399" xr:uid="{344ED7A8-1224-4491-B157-370CBF7BE098}"/>
    <cellStyle name="20% - Accent5 3 3" xfId="1845" xr:uid="{489A41B6-59C3-4665-8F0B-28CA757D6FAB}"/>
    <cellStyle name="20% - Accent5 3 3 2" xfId="3313" xr:uid="{27AAB20C-28AB-4AEE-B226-F467835DC909}"/>
    <cellStyle name="20% - Accent5 3 3 3" xfId="3314" xr:uid="{F1C0E6E9-8E29-45CE-943D-52243951BC99}"/>
    <cellStyle name="20% - Accent5 3 3 4" xfId="3315" xr:uid="{8D256394-D812-4D68-A36C-033CEF31924C}"/>
    <cellStyle name="20% - Accent5 3 4" xfId="3316" xr:uid="{466B2AF0-BA7E-4EA1-9C43-C97B664275DC}"/>
    <cellStyle name="20% - Accent5 3 4 2" xfId="3317" xr:uid="{231BA97C-AE4C-4DAC-B077-4F3007F9095A}"/>
    <cellStyle name="20% - Accent5 3 4_Exist Trunk Assets - Ferry" xfId="8402" xr:uid="{7EE71C5E-9B54-48BE-B2E4-CE52533E139C}"/>
    <cellStyle name="20% - Accent5 3 5" xfId="3318" xr:uid="{EF85F4AE-37B8-4F77-8C31-D0B5A5511009}"/>
    <cellStyle name="20% - Accent5 3 5 2" xfId="3319" xr:uid="{96F3B462-64C7-4F71-A514-C2BBF5053049}"/>
    <cellStyle name="20% - Accent5 3 5_Exist Trunk Assets - Ferry" xfId="8403" xr:uid="{BAF82FF4-5C37-41C7-B251-D6A6AD35C554}"/>
    <cellStyle name="20% - Accent5 3 6" xfId="3320" xr:uid="{A31A65D6-CE26-4015-B78B-AD9F28F88AA9}"/>
    <cellStyle name="20% - Accent5 3_Exist Trunk Assets - Ferry" xfId="8398" xr:uid="{D67D293E-686E-4191-9914-12C1C78BB110}"/>
    <cellStyle name="20% - Accent5 30" xfId="221" xr:uid="{4B985424-D4FA-4F58-B137-E8ADF23B1B44}"/>
    <cellStyle name="20% - Accent5 30 2" xfId="3321" xr:uid="{A7F88396-AADE-4A9F-9D73-20A915E69B87}"/>
    <cellStyle name="20% - Accent5 30 3" xfId="3322" xr:uid="{E6D711E8-4451-49D6-BD75-5E7167DA11ED}"/>
    <cellStyle name="20% - Accent5 30 4" xfId="3323" xr:uid="{95B7E9BF-C01F-4845-A424-77A85B9AC6A2}"/>
    <cellStyle name="20% - Accent5 31" xfId="222" xr:uid="{50498F8E-A4D4-4244-99EA-6AD7493EDDB0}"/>
    <cellStyle name="20% - Accent5 31 2" xfId="3324" xr:uid="{90567A88-BF8E-4418-9A67-97C51521489F}"/>
    <cellStyle name="20% - Accent5 31 3" xfId="3325" xr:uid="{5C4C58FA-F7EA-45E1-B459-2089DE09C735}"/>
    <cellStyle name="20% - Accent5 31 4" xfId="3326" xr:uid="{75B3DB0C-DA2D-45C5-B8CE-C12FE031DFD4}"/>
    <cellStyle name="20% - Accent5 32" xfId="223" xr:uid="{23183503-57B3-4371-A017-FF33E9FDF133}"/>
    <cellStyle name="20% - Accent5 32 2" xfId="3327" xr:uid="{A2AA485D-5E72-4B25-8C38-BDC007E951E8}"/>
    <cellStyle name="20% - Accent5 32 3" xfId="3328" xr:uid="{3929196A-BD6F-4D95-BA38-AC331057A50D}"/>
    <cellStyle name="20% - Accent5 32 4" xfId="3329" xr:uid="{8005DB06-81F2-451C-B685-1087EC39ADBD}"/>
    <cellStyle name="20% - Accent5 33" xfId="224" xr:uid="{A7C91007-70C3-48C0-9CA6-284FF68BED00}"/>
    <cellStyle name="20% - Accent5 33 2" xfId="3330" xr:uid="{EE48045B-3DEE-455B-B990-307CF752C51C}"/>
    <cellStyle name="20% - Accent5 33 3" xfId="3331" xr:uid="{EB8BAE76-E099-4029-95E6-3570B3687CEB}"/>
    <cellStyle name="20% - Accent5 33 4" xfId="3332" xr:uid="{F184A3C5-62CF-459E-AB04-8DBD1538FF77}"/>
    <cellStyle name="20% - Accent5 34" xfId="225" xr:uid="{C1487E7E-4CF8-4252-AB67-924690A78EEC}"/>
    <cellStyle name="20% - Accent5 34 2" xfId="3333" xr:uid="{8330BCB0-2F5C-49A0-93BC-5B8186867425}"/>
    <cellStyle name="20% - Accent5 34 3" xfId="3334" xr:uid="{7678D9FB-586B-4198-A9BB-C5483B225B07}"/>
    <cellStyle name="20% - Accent5 34 4" xfId="3335" xr:uid="{8B46DCB7-0D17-4531-874E-19BEF1967836}"/>
    <cellStyle name="20% - Accent5 35" xfId="226" xr:uid="{C95D2535-CD22-44AA-BF1D-C758F47F36B8}"/>
    <cellStyle name="20% - Accent5 35 2" xfId="3336" xr:uid="{737FC42F-8546-4400-A12C-3F13DECA7F90}"/>
    <cellStyle name="20% - Accent5 35 3" xfId="3337" xr:uid="{FF4671FD-F971-4DBC-9C45-EFAF7AC4D519}"/>
    <cellStyle name="20% - Accent5 35 4" xfId="3338" xr:uid="{1E6D42F4-C51B-41D2-B16A-9DF23211DF2E}"/>
    <cellStyle name="20% - Accent5 36" xfId="227" xr:uid="{F1E8D7B7-E77A-4795-92EB-FFFEE1E71A6F}"/>
    <cellStyle name="20% - Accent5 36 2" xfId="3339" xr:uid="{BB8B31E1-5923-43EB-8D91-3790B5621ED8}"/>
    <cellStyle name="20% - Accent5 36 3" xfId="3340" xr:uid="{0AF34678-BB89-4153-B591-B8727003E9ED}"/>
    <cellStyle name="20% - Accent5 36 4" xfId="3341" xr:uid="{4A5E3FBC-516C-4B1D-8963-63F03C154DA7}"/>
    <cellStyle name="20% - Accent5 37" xfId="228" xr:uid="{6AADA513-045D-4060-86E7-08091867FC56}"/>
    <cellStyle name="20% - Accent5 37 2" xfId="3342" xr:uid="{75528BEC-0415-4D66-B5BF-274DB9E2FF5C}"/>
    <cellStyle name="20% - Accent5 37 3" xfId="3343" xr:uid="{DCCE6EAD-6E8E-4F7A-97AD-1B5D172CC142}"/>
    <cellStyle name="20% - Accent5 37 4" xfId="3344" xr:uid="{4A6AD493-F4D9-42E7-A87B-9682E7256E5E}"/>
    <cellStyle name="20% - Accent5 38" xfId="229" xr:uid="{0D5229C0-FC12-4B32-8123-443F0C0C29A9}"/>
    <cellStyle name="20% - Accent5 38 2" xfId="3345" xr:uid="{D4D2E825-F887-42F9-B524-60F1061B3410}"/>
    <cellStyle name="20% - Accent5 38 3" xfId="3346" xr:uid="{524A2985-23A7-442D-83ED-1F446364664E}"/>
    <cellStyle name="20% - Accent5 38 4" xfId="3347" xr:uid="{D34AF5E8-7327-4844-B773-34C81D14513B}"/>
    <cellStyle name="20% - Accent5 39" xfId="230" xr:uid="{F7B38E44-5ED0-4479-8C85-D3EE5B452DB2}"/>
    <cellStyle name="20% - Accent5 39 2" xfId="3348" xr:uid="{4AA21B90-0A7F-408D-841B-6D3F39764F69}"/>
    <cellStyle name="20% - Accent5 39 3" xfId="3349" xr:uid="{A36D20EF-3635-4A6F-B814-63301688AFDE}"/>
    <cellStyle name="20% - Accent5 39 4" xfId="3350" xr:uid="{1FB08909-E615-411D-AFA7-02A936232729}"/>
    <cellStyle name="20% - Accent5 4" xfId="231" xr:uid="{3FC3F720-6B68-46C5-A66C-B0FD8CFF489A}"/>
    <cellStyle name="20% - Accent5 4 2" xfId="232" xr:uid="{CDD56E13-C25C-484F-8204-F7D008CA7DE4}"/>
    <cellStyle name="20% - Accent5 4 2 2" xfId="3351" xr:uid="{F887AC6F-5459-4D5C-9C85-61EBAC51CAA4}"/>
    <cellStyle name="20% - Accent5 4 2 2 2" xfId="3352" xr:uid="{D621A53C-D73E-4EC0-A2AC-4A767F607770}"/>
    <cellStyle name="20% - Accent5 4 2 2_Exist Trunk Assets - Ferry" xfId="8406" xr:uid="{420EC9A1-BF7B-4352-8D63-702E8464AFAE}"/>
    <cellStyle name="20% - Accent5 4 2 3" xfId="3353" xr:uid="{DD7EEBBC-50F2-4DB8-A65F-E7E91B6796B1}"/>
    <cellStyle name="20% - Accent5 4 2 3 2" xfId="3354" xr:uid="{A08EBE45-21C9-43E5-A40F-349D74962147}"/>
    <cellStyle name="20% - Accent5 4 2 3_Exist Trunk Assets - Ferry" xfId="8407" xr:uid="{D81FD9D5-C850-48A2-B606-68E9418C244C}"/>
    <cellStyle name="20% - Accent5 4 2 4" xfId="3355" xr:uid="{B39EBD90-4AB6-4336-812C-4997A218FEA4}"/>
    <cellStyle name="20% - Accent5 4 2_Exist Trunk Assets - Ferry" xfId="8405" xr:uid="{5F9C746E-0C0E-4C23-8342-91A1D28A3E7E}"/>
    <cellStyle name="20% - Accent5 4 3" xfId="1846" xr:uid="{49EC650D-1303-431B-BCB2-16AFB8DEBF35}"/>
    <cellStyle name="20% - Accent5 4 3 2" xfId="3356" xr:uid="{92782722-C470-49A3-8C91-CB9086AB1E8D}"/>
    <cellStyle name="20% - Accent5 4 3 3" xfId="3357" xr:uid="{2B26B209-C767-46C0-A370-04EAF5CB2F21}"/>
    <cellStyle name="20% - Accent5 4 3 4" xfId="3358" xr:uid="{2CFA0E83-0339-4FFC-8989-25D118D80801}"/>
    <cellStyle name="20% - Accent5 4 4" xfId="3359" xr:uid="{77FC1C32-0B1B-4B62-B026-8C69ACE055CB}"/>
    <cellStyle name="20% - Accent5 4 4 2" xfId="3360" xr:uid="{1304BD12-2E7A-4B82-B4E7-2033B31FE98F}"/>
    <cellStyle name="20% - Accent5 4 4_Exist Trunk Assets - Ferry" xfId="8408" xr:uid="{A28E19C0-772B-4E0A-B18C-AC7656235894}"/>
    <cellStyle name="20% - Accent5 4 5" xfId="3361" xr:uid="{1AF03493-3D15-4B81-89AD-428E036B5416}"/>
    <cellStyle name="20% - Accent5 4 5 2" xfId="3362" xr:uid="{8B83ABBB-E3CA-4260-AC79-E8F96737476B}"/>
    <cellStyle name="20% - Accent5 4 5_Exist Trunk Assets - Ferry" xfId="8409" xr:uid="{8E149E9E-1241-436B-A2D0-355D5784E94F}"/>
    <cellStyle name="20% - Accent5 4 6" xfId="3363" xr:uid="{342AECE7-9699-4688-B8BB-11C6765E747E}"/>
    <cellStyle name="20% - Accent5 4_Exist Trunk Assets - Ferry" xfId="8404" xr:uid="{DAFFDE8E-E5D0-494C-8261-79F2C24EAABD}"/>
    <cellStyle name="20% - Accent5 40" xfId="233" xr:uid="{27F07AA3-8304-4D0E-9823-30B432AD599A}"/>
    <cellStyle name="20% - Accent5 40 2" xfId="3364" xr:uid="{C25AA91C-7670-41C6-92F8-10217EA5BFFC}"/>
    <cellStyle name="20% - Accent5 40 3" xfId="3365" xr:uid="{20625C17-E7C9-42B0-A6A7-DF9D5ECF43D1}"/>
    <cellStyle name="20% - Accent5 40 4" xfId="3366" xr:uid="{199C911C-2E29-474A-900B-48DE6ACF4E62}"/>
    <cellStyle name="20% - Accent5 5" xfId="234" xr:uid="{EAA49D9B-B5EF-42D3-80A0-02836D3318EB}"/>
    <cellStyle name="20% - Accent5 5 2" xfId="1844" xr:uid="{D3409DC4-2877-4735-BEA6-F826508BE3EF}"/>
    <cellStyle name="20% - Accent5 5 2 2" xfId="2379" xr:uid="{B1EAF78D-D5E8-4B5C-94D8-0305CD35A995}"/>
    <cellStyle name="20% - Accent5 5 2 2 2" xfId="3367" xr:uid="{B921E95F-A92C-4A53-BCD0-6EF9A454663D}"/>
    <cellStyle name="20% - Accent5 5 2 2 2 2" xfId="3368" xr:uid="{C17350D5-1D90-46AD-B645-A4D267B85B72}"/>
    <cellStyle name="20% - Accent5 5 2 2 2_Exist Trunk Assets - Ferry" xfId="8412" xr:uid="{B6C6BCA3-B422-457D-9C86-897591C325B8}"/>
    <cellStyle name="20% - Accent5 5 2 2 3" xfId="3369" xr:uid="{9A9DCEEC-A51A-4DB2-93D4-47A25ED7192A}"/>
    <cellStyle name="20% - Accent5 5 2 2 3 2" xfId="3370" xr:uid="{613A9DDF-104C-41D0-8E94-82B69B318E10}"/>
    <cellStyle name="20% - Accent5 5 2 2 3_Exist Trunk Assets - Ferry" xfId="8413" xr:uid="{14270C69-B1ED-42BC-9ACF-1E0E21F79DBC}"/>
    <cellStyle name="20% - Accent5 5 2 2 4" xfId="3371" xr:uid="{CDF4F452-5470-44C8-A7D5-DE3BE4C4922A}"/>
    <cellStyle name="20% - Accent5 5 2 2_Exist Trunk Assets - Ferry" xfId="8411" xr:uid="{EEA938C9-2DC4-4CD6-B127-017E7C0A4581}"/>
    <cellStyle name="20% - Accent5 5 2 3" xfId="3372" xr:uid="{884BAA0D-C255-4F8B-9FC8-0CB443F896DC}"/>
    <cellStyle name="20% - Accent5 5 2 4" xfId="3373" xr:uid="{38482A32-14CB-4397-86EC-57339D6A0B9A}"/>
    <cellStyle name="20% - Accent5 5 2 5" xfId="3374" xr:uid="{65F5D61E-7B5B-409D-9AA7-3BAB142BB1FE}"/>
    <cellStyle name="20% - Accent5 5 3" xfId="3375" xr:uid="{657C1FD3-0AF3-4FF2-AE01-072B59BBD3AC}"/>
    <cellStyle name="20% - Accent5 5 3 2" xfId="3376" xr:uid="{8FD68BE1-D37C-4500-877A-6610B2F15D08}"/>
    <cellStyle name="20% - Accent5 5 3_Exist Trunk Assets - Ferry" xfId="8414" xr:uid="{D28141C5-7494-4C15-A991-37CDAC339B52}"/>
    <cellStyle name="20% - Accent5 5 4" xfId="3377" xr:uid="{2248F508-F2D1-4205-B4D7-5F3337139C96}"/>
    <cellStyle name="20% - Accent5 5 4 2" xfId="3378" xr:uid="{F48868B1-CFCE-4AF1-8CF4-C215E3796024}"/>
    <cellStyle name="20% - Accent5 5 4_Exist Trunk Assets - Ferry" xfId="8415" xr:uid="{96B03F39-91AC-4C6E-A9D0-9AB6BF163C96}"/>
    <cellStyle name="20% - Accent5 5 5" xfId="3379" xr:uid="{D141086B-EE06-46FD-841A-1A5EABDDD5F2}"/>
    <cellStyle name="20% - Accent5 5_Exist Trunk Assets - Ferry" xfId="8410" xr:uid="{20C12D35-3B1A-4E23-B30A-B71A2E08DA18}"/>
    <cellStyle name="20% - Accent5 6" xfId="235" xr:uid="{4AE78E9F-2517-45BC-BCD5-B7F8AA96CD2C}"/>
    <cellStyle name="20% - Accent5 6 2" xfId="3380" xr:uid="{35428479-6F37-412E-B136-16E70EF6F16B}"/>
    <cellStyle name="20% - Accent5 6 3" xfId="3381" xr:uid="{59D079EB-1F52-4C70-8A99-35E4CA3ABA2F}"/>
    <cellStyle name="20% - Accent5 6 4" xfId="3382" xr:uid="{595A606C-6D5B-4CA6-84B7-43BCE5F4235F}"/>
    <cellStyle name="20% - Accent5 7" xfId="236" xr:uid="{C0740DBB-67F8-4F87-890B-9534F96528C6}"/>
    <cellStyle name="20% - Accent5 7 2" xfId="3383" xr:uid="{CC14CDF0-5568-4A56-8F23-56157F34DCAF}"/>
    <cellStyle name="20% - Accent5 7 3" xfId="3384" xr:uid="{0D26AA4C-C457-49F6-8A09-810DD5F560BD}"/>
    <cellStyle name="20% - Accent5 7 4" xfId="3385" xr:uid="{64F4ACB8-41A2-4616-AF51-BE04DB4F99DE}"/>
    <cellStyle name="20% - Accent5 8" xfId="237" xr:uid="{8E790E9D-7EAD-48EC-B16E-1F91FF233880}"/>
    <cellStyle name="20% - Accent5 8 2" xfId="3386" xr:uid="{1DEB06E3-95C8-43C6-B795-9A831BFF52EE}"/>
    <cellStyle name="20% - Accent5 8 3" xfId="3387" xr:uid="{53B3C4AF-ACD5-4304-A7E0-8C6146B709D3}"/>
    <cellStyle name="20% - Accent5 8 4" xfId="3388" xr:uid="{A4A3512E-966D-4645-AEE3-8D915E19F3C6}"/>
    <cellStyle name="20% - Accent5 9" xfId="238" xr:uid="{577B8403-C51C-47F6-917A-E453BAD906B0}"/>
    <cellStyle name="20% - Accent5 9 2" xfId="3389" xr:uid="{8567EB7B-EFA9-440C-B5BD-0EF4C2BB9402}"/>
    <cellStyle name="20% - Accent5 9 3" xfId="3390" xr:uid="{0F18190D-3A4E-4382-8052-55E150CAC2DF}"/>
    <cellStyle name="20% - Accent5 9 4" xfId="3391" xr:uid="{11F30E5A-BBEF-46B3-95E0-9F1DDA6FA7D6}"/>
    <cellStyle name="20% - Accent6 10" xfId="239" xr:uid="{CC895455-FF4D-454F-BD2B-3FAA397E3D16}"/>
    <cellStyle name="20% - Accent6 10 2" xfId="3392" xr:uid="{6C7ACC1E-173C-4CA2-8260-332477F2559F}"/>
    <cellStyle name="20% - Accent6 10 3" xfId="3393" xr:uid="{A258E004-70A5-4C02-B7DD-C8B26EA263A8}"/>
    <cellStyle name="20% - Accent6 10 4" xfId="3394" xr:uid="{FB383E6C-1757-4113-A0E6-41970417A6F6}"/>
    <cellStyle name="20% - Accent6 11" xfId="240" xr:uid="{EEC8BEFB-13B0-421E-B643-6B04F279947D}"/>
    <cellStyle name="20% - Accent6 11 2" xfId="3395" xr:uid="{8DD6E3A9-826F-4F49-B9C4-590EBE3918A2}"/>
    <cellStyle name="20% - Accent6 11 3" xfId="3396" xr:uid="{47D88674-1B8D-425F-AD57-77A89D66E25E}"/>
    <cellStyle name="20% - Accent6 11 4" xfId="3397" xr:uid="{2A2FACBE-B1EE-4423-B789-162AE2983575}"/>
    <cellStyle name="20% - Accent6 12" xfId="241" xr:uid="{26B0E09E-BE93-417D-A210-7D0C11A0A1AF}"/>
    <cellStyle name="20% - Accent6 12 2" xfId="3398" xr:uid="{E34913C1-8160-4286-87C0-08EED4449F00}"/>
    <cellStyle name="20% - Accent6 12 3" xfId="3399" xr:uid="{052F17D3-A22E-4D2A-88A2-07703843E527}"/>
    <cellStyle name="20% - Accent6 12 4" xfId="3400" xr:uid="{19B42437-49A2-4BD1-8921-5A3CCE8DAE0A}"/>
    <cellStyle name="20% - Accent6 13" xfId="242" xr:uid="{759A8CC2-3334-4B9E-A40E-3227909B1351}"/>
    <cellStyle name="20% - Accent6 13 2" xfId="3401" xr:uid="{D993F3A7-1DB2-4D18-A586-3FECFD47580D}"/>
    <cellStyle name="20% - Accent6 13 3" xfId="3402" xr:uid="{B3E5F291-7B8E-46BA-ABBA-F89D63701900}"/>
    <cellStyle name="20% - Accent6 13 4" xfId="3403" xr:uid="{74ECA9A8-D43F-4574-905E-D03514205234}"/>
    <cellStyle name="20% - Accent6 14" xfId="243" xr:uid="{BB70B015-5145-4E94-BB6F-636FACACE4C6}"/>
    <cellStyle name="20% - Accent6 14 2" xfId="3404" xr:uid="{F1BFC423-539A-4893-BBF9-DB2A0A51DE97}"/>
    <cellStyle name="20% - Accent6 14 3" xfId="3405" xr:uid="{EB97CBFE-1592-472C-8559-BAE44239D779}"/>
    <cellStyle name="20% - Accent6 14 4" xfId="3406" xr:uid="{C2346182-EB14-4FEA-B6EF-F3DA65FB0EDA}"/>
    <cellStyle name="20% - Accent6 15" xfId="244" xr:uid="{2BD4A041-5573-4DDD-AACE-13FB8CDF5B09}"/>
    <cellStyle name="20% - Accent6 15 2" xfId="3407" xr:uid="{C78A1DBE-DB95-4EEF-AED5-A233271874D7}"/>
    <cellStyle name="20% - Accent6 15 3" xfId="3408" xr:uid="{09C9F409-EDE7-4883-B5E3-795C8D205D7A}"/>
    <cellStyle name="20% - Accent6 15 4" xfId="3409" xr:uid="{0B3702FA-2335-46CD-84B5-27978F3514F7}"/>
    <cellStyle name="20% - Accent6 16" xfId="245" xr:uid="{D89B2ACE-79C7-49A4-A6BD-3E20E364D052}"/>
    <cellStyle name="20% - Accent6 16 2" xfId="3410" xr:uid="{4906026D-BC20-468C-937D-5F98AFCFB1DA}"/>
    <cellStyle name="20% - Accent6 16 3" xfId="3411" xr:uid="{EFC38819-293E-407A-AD7F-675B58EF0266}"/>
    <cellStyle name="20% - Accent6 16 4" xfId="3412" xr:uid="{4834320F-62B8-4052-A7DF-7A95F0A2F6DB}"/>
    <cellStyle name="20% - Accent6 17" xfId="246" xr:uid="{DD330991-EAE3-4BB7-AE90-4216A5721F9E}"/>
    <cellStyle name="20% - Accent6 17 2" xfId="3413" xr:uid="{66F526CB-FC2D-4E60-A919-C8442197C08A}"/>
    <cellStyle name="20% - Accent6 17 3" xfId="3414" xr:uid="{4424EC18-D4AC-4C41-A5EE-0524A84CB68F}"/>
    <cellStyle name="20% - Accent6 17 4" xfId="3415" xr:uid="{70C06A06-044E-4A49-BA78-85D338073ACD}"/>
    <cellStyle name="20% - Accent6 18" xfId="247" xr:uid="{98AD3524-8C5B-4DED-8AE2-42DEEA42D219}"/>
    <cellStyle name="20% - Accent6 18 2" xfId="3416" xr:uid="{8D7C7564-D96C-4E20-A1F6-00FD01508007}"/>
    <cellStyle name="20% - Accent6 18 3" xfId="3417" xr:uid="{78A677F5-43F7-41CC-8382-6FF8795F67A1}"/>
    <cellStyle name="20% - Accent6 18 4" xfId="3418" xr:uid="{8F53F840-6278-4895-9925-C3144560EDFB}"/>
    <cellStyle name="20% - Accent6 19" xfId="248" xr:uid="{782D2045-4E5C-4455-AF6C-F5E3D1510F96}"/>
    <cellStyle name="20% - Accent6 19 2" xfId="3419" xr:uid="{83CFC59F-8A27-496A-B61D-13DE78501C0A}"/>
    <cellStyle name="20% - Accent6 19 3" xfId="3420" xr:uid="{9A2E870C-FA62-4C98-A1EA-C02894E52877}"/>
    <cellStyle name="20% - Accent6 19 4" xfId="3421" xr:uid="{E7D01ADD-DB59-40E6-889A-E51758F31D38}"/>
    <cellStyle name="20% - Accent6 2" xfId="249" xr:uid="{AF4E1166-464D-4712-925A-38CC03F2D5DF}"/>
    <cellStyle name="20% - Accent6 2 2" xfId="250" xr:uid="{466BAA3C-FC8C-45C9-976E-41567221C7F5}"/>
    <cellStyle name="20% - Accent6 2 2 2" xfId="2381" xr:uid="{5D7B44A3-1A3A-4567-920E-57CDD2DE6A9C}"/>
    <cellStyle name="20% - Accent6 2 2 2 2" xfId="3422" xr:uid="{CFFC3806-9486-419C-8631-4E3D974E9B36}"/>
    <cellStyle name="20% - Accent6 2 2 2 3" xfId="3423" xr:uid="{492FCDF0-72BF-49B4-942C-751C94E55EB6}"/>
    <cellStyle name="20% - Accent6 2 2 2 4" xfId="3424" xr:uid="{E1C0DE90-98FF-453A-9391-8D6D02D54FA3}"/>
    <cellStyle name="20% - Accent6 2 2 3" xfId="2380" xr:uid="{0652204B-7299-41EA-994D-81F590C31D50}"/>
    <cellStyle name="20% - Accent6 2 2 3 2" xfId="3425" xr:uid="{19203E7B-F685-4710-8531-675735063599}"/>
    <cellStyle name="20% - Accent6 2 2 3 2 2" xfId="3426" xr:uid="{F6479FC1-111B-4D12-BA35-417BA90B78D5}"/>
    <cellStyle name="20% - Accent6 2 2 3 2_Exist Trunk Assets - Ferry" xfId="8418" xr:uid="{F662D82B-AC15-4282-ACDB-6738762142B9}"/>
    <cellStyle name="20% - Accent6 2 2 3 3" xfId="3427" xr:uid="{D8D60E92-EF90-4D87-9CCD-A10F754DF943}"/>
    <cellStyle name="20% - Accent6 2 2 3 3 2" xfId="3428" xr:uid="{6CDD2587-017F-44F9-8C1A-DBC14F4AA1A2}"/>
    <cellStyle name="20% - Accent6 2 2 3 3_Exist Trunk Assets - Ferry" xfId="8419" xr:uid="{BD6D58DF-EA73-4049-A836-7D97E877A2CB}"/>
    <cellStyle name="20% - Accent6 2 2 3 4" xfId="3429" xr:uid="{DD44A237-50C4-4730-AC79-362D7286035F}"/>
    <cellStyle name="20% - Accent6 2 2 3_Exist Trunk Assets - Ferry" xfId="8417" xr:uid="{9D01954C-EC87-4492-B2C8-79AC05B90CA2}"/>
    <cellStyle name="20% - Accent6 2 2 4" xfId="3430" xr:uid="{32E5829F-C43B-4C95-874A-BE23927F24E7}"/>
    <cellStyle name="20% - Accent6 2 2 5" xfId="3431" xr:uid="{D0E3177D-9637-497F-8BCE-BD682757426A}"/>
    <cellStyle name="20% - Accent6 2 2 6" xfId="3432" xr:uid="{320D180B-2DAE-4197-8C55-7B50B5B92825}"/>
    <cellStyle name="20% - Accent6 2 3" xfId="251" xr:uid="{3494E403-8CD6-4290-80BF-08A8EED32C81}"/>
    <cellStyle name="20% - Accent6 2 3 2" xfId="3433" xr:uid="{8DDB124A-CE52-4D62-9144-84C1CDC7135C}"/>
    <cellStyle name="20% - Accent6 2 3 2 2" xfId="3434" xr:uid="{585D9BE1-3A39-49E7-949B-239F4CE10924}"/>
    <cellStyle name="20% - Accent6 2 3 2_Exist Trunk Assets - Ferry" xfId="8421" xr:uid="{1D2A6881-3563-40CD-9F95-FD39B61191F6}"/>
    <cellStyle name="20% - Accent6 2 3 3" xfId="3435" xr:uid="{560D3D55-E1CD-4957-B00A-026DC98C09F4}"/>
    <cellStyle name="20% - Accent6 2 3 3 2" xfId="3436" xr:uid="{CF1188E2-86AA-4BB7-AB42-CA8606564318}"/>
    <cellStyle name="20% - Accent6 2 3 3_Exist Trunk Assets - Ferry" xfId="8422" xr:uid="{0F7B5424-34D5-4EA4-A156-4FBE050DE513}"/>
    <cellStyle name="20% - Accent6 2 3 4" xfId="3437" xr:uid="{FA65FE07-888A-45B6-B145-45F42CFA648C}"/>
    <cellStyle name="20% - Accent6 2 3_Exist Trunk Assets - Ferry" xfId="8420" xr:uid="{5482B8C0-BF15-4A18-9C76-998820F81E47}"/>
    <cellStyle name="20% - Accent6 2 4" xfId="3438" xr:uid="{22B03006-227B-40E0-87F1-F492DB216C89}"/>
    <cellStyle name="20% - Accent6 2 4 2" xfId="3439" xr:uid="{D1E52B0D-2A34-47F1-AEF4-490D5DA525D9}"/>
    <cellStyle name="20% - Accent6 2 4_Exist Trunk Assets - Ferry" xfId="8423" xr:uid="{3912FA87-75DE-44ED-A96C-1B069DD858EF}"/>
    <cellStyle name="20% - Accent6 2 5" xfId="3440" xr:uid="{2B962326-3933-444F-8F4A-B1F56D1B0D39}"/>
    <cellStyle name="20% - Accent6 2 5 2" xfId="3441" xr:uid="{04FB6E92-3412-41A4-B0CC-7B2D8112464E}"/>
    <cellStyle name="20% - Accent6 2 5_Exist Trunk Assets - Ferry" xfId="8424" xr:uid="{869563ED-DF29-4083-8FAD-E7354D893E5B}"/>
    <cellStyle name="20% - Accent6 2 6" xfId="3442" xr:uid="{1D60BA3E-9D3D-451E-AA61-FA06A74E964E}"/>
    <cellStyle name="20% - Accent6 2 7" xfId="8130" xr:uid="{50A0E241-65F7-47FF-A9DA-966321AA6730}"/>
    <cellStyle name="20% - Accent6 2_Exist Trunk Assets - Ferry" xfId="8416" xr:uid="{212FE44A-C6D3-4B14-B695-E5199DCBC51F}"/>
    <cellStyle name="20% - Accent6 20" xfId="252" xr:uid="{040EE0FD-00C2-4A2E-9BF8-87EDE36B4125}"/>
    <cellStyle name="20% - Accent6 20 2" xfId="3443" xr:uid="{E188D53C-8A49-4AB5-A7F2-1344DEC1C326}"/>
    <cellStyle name="20% - Accent6 20 3" xfId="3444" xr:uid="{EBC859DD-0DEE-4A72-B159-46A065C61F9B}"/>
    <cellStyle name="20% - Accent6 20 4" xfId="3445" xr:uid="{2A1F522A-0533-4B25-837B-B5E56C021C22}"/>
    <cellStyle name="20% - Accent6 21" xfId="253" xr:uid="{8FFEEC5A-7DDC-4958-BA4C-5A205F2CE7A6}"/>
    <cellStyle name="20% - Accent6 21 2" xfId="3446" xr:uid="{03425D9E-B349-4E30-AAF8-2458CA193256}"/>
    <cellStyle name="20% - Accent6 21 3" xfId="3447" xr:uid="{692876C2-14F2-4DA6-9904-0BB3A768740F}"/>
    <cellStyle name="20% - Accent6 21 4" xfId="3448" xr:uid="{883E0CEA-3A85-400F-8F72-71AFDA18582E}"/>
    <cellStyle name="20% - Accent6 22" xfId="254" xr:uid="{501D84BF-732A-4A05-A1FE-408FE2C7D341}"/>
    <cellStyle name="20% - Accent6 22 2" xfId="3449" xr:uid="{7A41AC6D-2E0F-4E28-81A2-9D3D250ECC72}"/>
    <cellStyle name="20% - Accent6 22 3" xfId="3450" xr:uid="{1DCCCFB3-AA0A-49AC-9177-C348B157E80D}"/>
    <cellStyle name="20% - Accent6 22 4" xfId="3451" xr:uid="{1B058047-3FD8-4618-8BAC-6D7B7A1DEEFF}"/>
    <cellStyle name="20% - Accent6 23" xfId="255" xr:uid="{C20D1CCB-1AAC-4F7D-8B46-081DE7D2AB46}"/>
    <cellStyle name="20% - Accent6 23 2" xfId="3452" xr:uid="{FABE71D8-756A-427D-80A9-2C5C39F93867}"/>
    <cellStyle name="20% - Accent6 23 3" xfId="3453" xr:uid="{3F0238C1-EF10-4980-80E7-4911D193C3D6}"/>
    <cellStyle name="20% - Accent6 23 4" xfId="3454" xr:uid="{248D781B-4CE1-448C-BB74-1E99948E2697}"/>
    <cellStyle name="20% - Accent6 24" xfId="256" xr:uid="{F3BF1054-F9D8-4ED6-8C02-2DE58A0F45BF}"/>
    <cellStyle name="20% - Accent6 24 2" xfId="3455" xr:uid="{AD08D5B1-2037-4089-ACE6-2F694F0AF5A5}"/>
    <cellStyle name="20% - Accent6 24 3" xfId="3456" xr:uid="{3D6C8C0E-9D96-4B74-AC50-AE5A2399AB3F}"/>
    <cellStyle name="20% - Accent6 24 4" xfId="3457" xr:uid="{0BBF3E92-A953-418F-9436-02861A65744F}"/>
    <cellStyle name="20% - Accent6 25" xfId="257" xr:uid="{FF969B8D-9B57-4F91-919E-97680AD321E5}"/>
    <cellStyle name="20% - Accent6 25 2" xfId="3458" xr:uid="{89B06E49-918D-4F15-B0AD-5E8FC82864C7}"/>
    <cellStyle name="20% - Accent6 25 3" xfId="3459" xr:uid="{40AEF6FE-02D1-4AEB-8F13-098C6293F5B0}"/>
    <cellStyle name="20% - Accent6 25 4" xfId="3460" xr:uid="{BEF273A5-5BE2-4ED7-AFD5-C8BBD8FEEE93}"/>
    <cellStyle name="20% - Accent6 26" xfId="258" xr:uid="{C78785DB-05B3-4013-A9BD-748E622869D9}"/>
    <cellStyle name="20% - Accent6 26 2" xfId="3461" xr:uid="{CB882474-438E-4217-BC55-96CEA55D98E9}"/>
    <cellStyle name="20% - Accent6 26 3" xfId="3462" xr:uid="{2814FE04-E603-4FA8-8198-78F6BA6087A8}"/>
    <cellStyle name="20% - Accent6 26 4" xfId="3463" xr:uid="{F760A4DB-CF91-43A7-8FD0-4B427C2FF9E9}"/>
    <cellStyle name="20% - Accent6 27" xfId="259" xr:uid="{CAC0757F-BDDB-402C-A21B-A5929F4C2519}"/>
    <cellStyle name="20% - Accent6 27 2" xfId="3464" xr:uid="{5F5D8C20-B807-43B1-8FCD-C69A9FB41AB4}"/>
    <cellStyle name="20% - Accent6 27 3" xfId="3465" xr:uid="{70BDA6C6-928D-4488-9F5A-C7520FF65C1D}"/>
    <cellStyle name="20% - Accent6 27 4" xfId="3466" xr:uid="{88895F09-4C22-46AD-9178-6457A67B5083}"/>
    <cellStyle name="20% - Accent6 28" xfId="260" xr:uid="{8E1451AE-986D-4356-8C0A-0DD234462A12}"/>
    <cellStyle name="20% - Accent6 28 2" xfId="3467" xr:uid="{48D3FDED-FB28-45ED-A48B-CBCFF8850730}"/>
    <cellStyle name="20% - Accent6 28 3" xfId="3468" xr:uid="{BE086952-0123-44B7-A362-2A351F7ACFBD}"/>
    <cellStyle name="20% - Accent6 28 4" xfId="3469" xr:uid="{ACEAF71A-A9C3-4A37-BC5C-ABBB15740AEE}"/>
    <cellStyle name="20% - Accent6 29" xfId="261" xr:uid="{A5AD7042-69FB-4505-A690-7DB20C11F9F8}"/>
    <cellStyle name="20% - Accent6 29 2" xfId="3470" xr:uid="{72894B39-DAFC-4A95-9770-A0320D973C5A}"/>
    <cellStyle name="20% - Accent6 29 3" xfId="3471" xr:uid="{55854EF3-9BA1-43E3-8887-859EC5E20013}"/>
    <cellStyle name="20% - Accent6 29 4" xfId="3472" xr:uid="{FCC51CB9-E11F-402F-82EB-F1C04995D320}"/>
    <cellStyle name="20% - Accent6 3" xfId="262" xr:uid="{99C93250-EFE4-4C7F-BBE0-B1F17033EF22}"/>
    <cellStyle name="20% - Accent6 3 2" xfId="263" xr:uid="{14AE680F-7F3E-4255-89D0-20538EAB71FA}"/>
    <cellStyle name="20% - Accent6 3 2 2" xfId="3473" xr:uid="{43901CA7-046B-4D49-9A87-896AEC79F222}"/>
    <cellStyle name="20% - Accent6 3 2 2 2" xfId="3474" xr:uid="{06EFB990-43EB-423C-A47D-3EE52F3926F0}"/>
    <cellStyle name="20% - Accent6 3 2 2_Exist Trunk Assets - Ferry" xfId="8427" xr:uid="{42A9C02B-D4B7-4802-B171-8D933452EC3E}"/>
    <cellStyle name="20% - Accent6 3 2 3" xfId="3475" xr:uid="{1D963630-FB29-4724-97DB-A84822C1A563}"/>
    <cellStyle name="20% - Accent6 3 2 3 2" xfId="3476" xr:uid="{58B76A88-2316-4A9D-A38B-E47817E370E7}"/>
    <cellStyle name="20% - Accent6 3 2 3_Exist Trunk Assets - Ferry" xfId="8428" xr:uid="{C847620C-184B-449C-9C02-141A1FCA4D63}"/>
    <cellStyle name="20% - Accent6 3 2 4" xfId="3477" xr:uid="{B5D62700-9D50-499E-B548-11E02C8E2592}"/>
    <cellStyle name="20% - Accent6 3 2_Exist Trunk Assets - Ferry" xfId="8426" xr:uid="{DD8E621A-5426-4ABC-95C3-17DC872BC582}"/>
    <cellStyle name="20% - Accent6 3 3" xfId="1848" xr:uid="{03B825AE-292B-4663-B5FC-90BD0379F4B5}"/>
    <cellStyle name="20% - Accent6 3 3 2" xfId="3478" xr:uid="{A015A324-CBD3-466A-8240-C173478CE835}"/>
    <cellStyle name="20% - Accent6 3 3 3" xfId="3479" xr:uid="{9F443DC1-848F-40DA-A83C-710D0C20FAEF}"/>
    <cellStyle name="20% - Accent6 3 3 4" xfId="3480" xr:uid="{EDFBB7DC-787D-4AB4-8824-0F7EC72978F2}"/>
    <cellStyle name="20% - Accent6 3 4" xfId="3481" xr:uid="{A2BFCA28-AB07-48A4-AD4E-FB072938E5DE}"/>
    <cellStyle name="20% - Accent6 3 4 2" xfId="3482" xr:uid="{1AAB1E19-B07B-4B31-A18F-8093D876BAFC}"/>
    <cellStyle name="20% - Accent6 3 4_Exist Trunk Assets - Ferry" xfId="8429" xr:uid="{D22B57E2-1DA9-4029-A7D8-23F4CA6CAF20}"/>
    <cellStyle name="20% - Accent6 3 5" xfId="3483" xr:uid="{046F808D-9F4F-40E7-A996-722BF0AF8282}"/>
    <cellStyle name="20% - Accent6 3 5 2" xfId="3484" xr:uid="{F07AF29C-EEBF-4EEC-8075-DB6F9C2546A9}"/>
    <cellStyle name="20% - Accent6 3 5_Exist Trunk Assets - Ferry" xfId="8430" xr:uid="{EAA315E6-09A4-42FF-AB7C-E5CAC81D5A7B}"/>
    <cellStyle name="20% - Accent6 3 6" xfId="3485" xr:uid="{9D138AEA-07AE-4672-9277-9C909207451A}"/>
    <cellStyle name="20% - Accent6 3_Exist Trunk Assets - Ferry" xfId="8425" xr:uid="{2AC84ECB-AC99-477B-A15F-6C8A1B0210B0}"/>
    <cellStyle name="20% - Accent6 30" xfId="264" xr:uid="{6C89A21C-149F-4B15-9697-3E6AD292B504}"/>
    <cellStyle name="20% - Accent6 30 2" xfId="3486" xr:uid="{2037E481-54A5-47B9-A89F-DFDE70B63CD3}"/>
    <cellStyle name="20% - Accent6 30 3" xfId="3487" xr:uid="{3FEFEE7E-EBDF-455E-87F1-DBBDDD59FB95}"/>
    <cellStyle name="20% - Accent6 30 4" xfId="3488" xr:uid="{EF5B77A8-AAE3-4F4D-AE1F-E723CC14B8D9}"/>
    <cellStyle name="20% - Accent6 31" xfId="265" xr:uid="{69C74460-ED98-4DE3-8778-11882C9344B6}"/>
    <cellStyle name="20% - Accent6 31 2" xfId="3489" xr:uid="{3184F765-9440-4023-B3C3-2DD9D0D20C3A}"/>
    <cellStyle name="20% - Accent6 31 3" xfId="3490" xr:uid="{7B9A6D05-C329-4F58-9DD3-A252DD2CE12E}"/>
    <cellStyle name="20% - Accent6 31 4" xfId="3491" xr:uid="{D803DD1B-839B-43B7-9733-B900537B6D3F}"/>
    <cellStyle name="20% - Accent6 32" xfId="266" xr:uid="{CB0E753F-E14F-484E-8EE2-8F9BE50E8B9E}"/>
    <cellStyle name="20% - Accent6 32 2" xfId="3492" xr:uid="{59E422F4-07D5-49EE-83AB-04D1DA313DFC}"/>
    <cellStyle name="20% - Accent6 32 3" xfId="3493" xr:uid="{0DBB14BB-63FB-4542-AA86-F347757C0CAC}"/>
    <cellStyle name="20% - Accent6 32 4" xfId="3494" xr:uid="{152DC811-3ED4-4C51-8EFC-B5C5D6A7E964}"/>
    <cellStyle name="20% - Accent6 33" xfId="267" xr:uid="{427EC3F3-4ADA-473A-A835-F84C8CF601D8}"/>
    <cellStyle name="20% - Accent6 33 2" xfId="3495" xr:uid="{3BAF9CFD-A049-48B1-8747-2DB2FD4DED6A}"/>
    <cellStyle name="20% - Accent6 33 3" xfId="3496" xr:uid="{6EF8B0F5-8342-41EF-B974-DD07E421CFBC}"/>
    <cellStyle name="20% - Accent6 33 4" xfId="3497" xr:uid="{723DAE00-8E12-4F3A-8122-5BCF2C9D89C9}"/>
    <cellStyle name="20% - Accent6 34" xfId="268" xr:uid="{0765193C-AEA5-4C01-8F61-331388E4D59A}"/>
    <cellStyle name="20% - Accent6 34 2" xfId="3498" xr:uid="{7E45A60E-E9EB-40F3-A846-CECF38914CC5}"/>
    <cellStyle name="20% - Accent6 34 3" xfId="3499" xr:uid="{551D95CD-DF72-4DF0-8C28-B82328B7B9E0}"/>
    <cellStyle name="20% - Accent6 34 4" xfId="3500" xr:uid="{7AFA690D-9FEC-4CCD-9ABD-A52C9EFC5DCF}"/>
    <cellStyle name="20% - Accent6 35" xfId="269" xr:uid="{9D55841D-4E36-4561-A809-64CADC6D8513}"/>
    <cellStyle name="20% - Accent6 35 2" xfId="3501" xr:uid="{85FDECDE-23D7-48A8-ACC9-84034A8CA0FA}"/>
    <cellStyle name="20% - Accent6 35 3" xfId="3502" xr:uid="{468C1908-6641-4154-92A8-7F8E8DB5843C}"/>
    <cellStyle name="20% - Accent6 35 4" xfId="3503" xr:uid="{011BD4A8-07B5-484F-B298-C2586860D79B}"/>
    <cellStyle name="20% - Accent6 36" xfId="270" xr:uid="{F7EF9F55-C750-423C-AF37-5693A5F6A14D}"/>
    <cellStyle name="20% - Accent6 36 2" xfId="3504" xr:uid="{4E80E9F7-9F9D-4F10-8B74-DBE374225251}"/>
    <cellStyle name="20% - Accent6 36 3" xfId="3505" xr:uid="{A0D8894F-4DE9-407F-8C32-F1B5D202E63C}"/>
    <cellStyle name="20% - Accent6 36 4" xfId="3506" xr:uid="{CC8669F2-5B61-484A-A22E-6401E6A06623}"/>
    <cellStyle name="20% - Accent6 37" xfId="271" xr:uid="{0A7EA331-6D0F-4357-8CC1-9D33D717BB70}"/>
    <cellStyle name="20% - Accent6 37 2" xfId="3507" xr:uid="{3E45B184-7264-4F39-9FDD-E1C2187C032E}"/>
    <cellStyle name="20% - Accent6 37 3" xfId="3508" xr:uid="{238BE09D-A8CA-448E-9F53-61AAAA59CD5F}"/>
    <cellStyle name="20% - Accent6 37 4" xfId="3509" xr:uid="{FEAE2CA5-4C9D-4E26-9C20-20D16247FEF5}"/>
    <cellStyle name="20% - Accent6 38" xfId="272" xr:uid="{74B5A9DB-8FE6-4728-B2D6-10D0A709A0E2}"/>
    <cellStyle name="20% - Accent6 38 2" xfId="3510" xr:uid="{902B32B9-498F-4620-8E29-F21F637562DA}"/>
    <cellStyle name="20% - Accent6 38 3" xfId="3511" xr:uid="{DF572489-F4AB-40FF-A592-D5ECC58EA46F}"/>
    <cellStyle name="20% - Accent6 38 4" xfId="3512" xr:uid="{6F76F7A2-EA2F-4C92-A47F-F5582626BEB7}"/>
    <cellStyle name="20% - Accent6 39" xfId="273" xr:uid="{BDA38C1F-CDA9-4155-99D4-F4C13B2D4FFA}"/>
    <cellStyle name="20% - Accent6 39 2" xfId="3513" xr:uid="{12DAA3FC-398A-4B07-8274-EDF02CD255B7}"/>
    <cellStyle name="20% - Accent6 39 3" xfId="3514" xr:uid="{041ECDEC-414A-4D9E-B2A6-12E2CBCBD17C}"/>
    <cellStyle name="20% - Accent6 39 4" xfId="3515" xr:uid="{5FAFB7F2-7294-475D-86C0-662482EB8630}"/>
    <cellStyle name="20% - Accent6 4" xfId="274" xr:uid="{51202B46-FC08-415A-A592-20E7EAD73C7E}"/>
    <cellStyle name="20% - Accent6 4 2" xfId="275" xr:uid="{2D853E78-869C-44D0-AE94-FE61F7A43A8E}"/>
    <cellStyle name="20% - Accent6 4 2 2" xfId="3516" xr:uid="{011A694E-A9A9-423B-85EC-A5AF4F577D30}"/>
    <cellStyle name="20% - Accent6 4 2 2 2" xfId="3517" xr:uid="{824B582B-D38E-4BA2-9042-E82F31CB2C4C}"/>
    <cellStyle name="20% - Accent6 4 2 2_Exist Trunk Assets - Ferry" xfId="8433" xr:uid="{73E807FE-E763-4D78-B85A-DE1C32F4D64B}"/>
    <cellStyle name="20% - Accent6 4 2 3" xfId="3518" xr:uid="{E1B99B00-B397-4A53-93CC-1DEA0AA5E464}"/>
    <cellStyle name="20% - Accent6 4 2 3 2" xfId="3519" xr:uid="{2488AE5E-09E1-411A-AED6-1A6A525E8F62}"/>
    <cellStyle name="20% - Accent6 4 2 3_Exist Trunk Assets - Ferry" xfId="8434" xr:uid="{CF868A39-D5E8-47D3-A631-AA546DC21102}"/>
    <cellStyle name="20% - Accent6 4 2 4" xfId="3520" xr:uid="{C30B99D8-3332-458C-B991-45C5B8EE8834}"/>
    <cellStyle name="20% - Accent6 4 2_Exist Trunk Assets - Ferry" xfId="8432" xr:uid="{685D889B-65DB-4F98-A4AC-41396C4B3FAF}"/>
    <cellStyle name="20% - Accent6 4 3" xfId="1849" xr:uid="{473B4CA3-D1F2-400A-90A1-F8AD7227738E}"/>
    <cellStyle name="20% - Accent6 4 3 2" xfId="3521" xr:uid="{E802A91D-A216-48C1-AF5D-739AA4667FC6}"/>
    <cellStyle name="20% - Accent6 4 3 3" xfId="3522" xr:uid="{5C9ACDC0-0D0D-4746-9C71-EE91B69CF16E}"/>
    <cellStyle name="20% - Accent6 4 3 4" xfId="3523" xr:uid="{EE9A4A3A-2CB2-4028-B868-1FBDC5F39747}"/>
    <cellStyle name="20% - Accent6 4 4" xfId="3524" xr:uid="{425BBF28-A149-4D94-A604-C39926E1785C}"/>
    <cellStyle name="20% - Accent6 4 4 2" xfId="3525" xr:uid="{5407B950-12E2-4C28-A13C-A1DC1FB8E09F}"/>
    <cellStyle name="20% - Accent6 4 4_Exist Trunk Assets - Ferry" xfId="8435" xr:uid="{6BFBE031-4693-47F0-800D-C0C16B3FEA4D}"/>
    <cellStyle name="20% - Accent6 4 5" xfId="3526" xr:uid="{1690D607-391B-4272-AFCF-05560FD12E6C}"/>
    <cellStyle name="20% - Accent6 4 5 2" xfId="3527" xr:uid="{96DF9BD4-5822-44A6-AD55-0EB0CAD01D24}"/>
    <cellStyle name="20% - Accent6 4 5_Exist Trunk Assets - Ferry" xfId="8436" xr:uid="{93704BC8-F969-41B6-9EFC-8EB96744D7CE}"/>
    <cellStyle name="20% - Accent6 4 6" xfId="3528" xr:uid="{60193F31-7887-4645-BCE9-072E265BA47E}"/>
    <cellStyle name="20% - Accent6 4_Exist Trunk Assets - Ferry" xfId="8431" xr:uid="{6DD8BA1F-0B7E-48CB-A689-F98A4CEC42D9}"/>
    <cellStyle name="20% - Accent6 40" xfId="276" xr:uid="{F4CC8397-5A40-426C-A537-1E25BDA1EE4A}"/>
    <cellStyle name="20% - Accent6 40 2" xfId="3529" xr:uid="{BD77CF10-2635-4DA8-8E90-DA336AAF4596}"/>
    <cellStyle name="20% - Accent6 40 3" xfId="3530" xr:uid="{DEA8481E-4B4B-4EDB-A4AC-4713FE1EF1F8}"/>
    <cellStyle name="20% - Accent6 40 4" xfId="3531" xr:uid="{A27644BE-2730-4A9C-A809-AF908C9F76E1}"/>
    <cellStyle name="20% - Accent6 5" xfId="277" xr:uid="{8C6B9BB2-948D-4932-A759-3B44999111CD}"/>
    <cellStyle name="20% - Accent6 5 2" xfId="1847" xr:uid="{2D19A7E1-A7F7-4217-9B0F-728031B81551}"/>
    <cellStyle name="20% - Accent6 5 2 2" xfId="2382" xr:uid="{DA9B3164-CE13-4BAB-A53B-DAFDB990746A}"/>
    <cellStyle name="20% - Accent6 5 2 2 2" xfId="3532" xr:uid="{753E16C8-9465-45DB-B0E6-0F8114B383C3}"/>
    <cellStyle name="20% - Accent6 5 2 2 2 2" xfId="3533" xr:uid="{B4A48D41-1040-4B9C-AC67-64274CAD5257}"/>
    <cellStyle name="20% - Accent6 5 2 2 2_Exist Trunk Assets - Ferry" xfId="8439" xr:uid="{50BCEEB0-0B89-4164-8CD2-D25D05D5D09F}"/>
    <cellStyle name="20% - Accent6 5 2 2 3" xfId="3534" xr:uid="{2FB5BAC3-A06D-40EA-8372-2BE947D0D510}"/>
    <cellStyle name="20% - Accent6 5 2 2 3 2" xfId="3535" xr:uid="{7AA23203-7082-4043-A6D0-B3C3ED3EDCB9}"/>
    <cellStyle name="20% - Accent6 5 2 2 3_Exist Trunk Assets - Ferry" xfId="8440" xr:uid="{18B71FDD-FCDA-4C08-9EBA-EB39500D98D7}"/>
    <cellStyle name="20% - Accent6 5 2 2 4" xfId="3536" xr:uid="{F466BA3D-5D9B-4B36-A312-837340123948}"/>
    <cellStyle name="20% - Accent6 5 2 2_Exist Trunk Assets - Ferry" xfId="8438" xr:uid="{5D4A3139-17F6-4D63-AC98-00E44BCFE216}"/>
    <cellStyle name="20% - Accent6 5 2 3" xfId="3537" xr:uid="{FBD4819F-68F2-408F-A998-3FC22968BF27}"/>
    <cellStyle name="20% - Accent6 5 2 4" xfId="3538" xr:uid="{E716D509-123A-4F16-AAD8-9DB092CAD502}"/>
    <cellStyle name="20% - Accent6 5 2 5" xfId="3539" xr:uid="{B92772F0-C8D2-40CD-A8BE-A92358C52FBC}"/>
    <cellStyle name="20% - Accent6 5 3" xfId="3540" xr:uid="{B8F212EE-05A7-46FD-BAF7-D175FD9D7AAC}"/>
    <cellStyle name="20% - Accent6 5 3 2" xfId="3541" xr:uid="{8E6F370C-319D-4F51-83D5-F946C6700019}"/>
    <cellStyle name="20% - Accent6 5 3_Exist Trunk Assets - Ferry" xfId="8441" xr:uid="{E31EF272-458D-4A2C-8F69-66A87ECBBCD8}"/>
    <cellStyle name="20% - Accent6 5 4" xfId="3542" xr:uid="{AFA47D5D-FD7F-461A-90B6-BD7A5A4B8CAA}"/>
    <cellStyle name="20% - Accent6 5 4 2" xfId="3543" xr:uid="{B73E7C67-E2B8-440B-8044-85CD687C7560}"/>
    <cellStyle name="20% - Accent6 5 4_Exist Trunk Assets - Ferry" xfId="8442" xr:uid="{2B47588D-E997-42F5-B3D8-27428AF6E42E}"/>
    <cellStyle name="20% - Accent6 5 5" xfId="3544" xr:uid="{3F445D45-EEC2-4E47-B45D-C2640F9B571F}"/>
    <cellStyle name="20% - Accent6 5_Exist Trunk Assets - Ferry" xfId="8437" xr:uid="{9D2D377E-A78B-4E68-9C7E-6B741F6575E2}"/>
    <cellStyle name="20% - Accent6 6" xfId="278" xr:uid="{F93D3299-31FD-4893-8BA6-101804776EC9}"/>
    <cellStyle name="20% - Accent6 6 2" xfId="3545" xr:uid="{6D565A36-0176-4AD8-AD8C-365C95E03D61}"/>
    <cellStyle name="20% - Accent6 6 3" xfId="3546" xr:uid="{CD5B269B-97C6-4B96-9777-D1BD2B76063C}"/>
    <cellStyle name="20% - Accent6 6 4" xfId="3547" xr:uid="{03A472C3-25AA-4393-91D5-5EE5B4E62B27}"/>
    <cellStyle name="20% - Accent6 7" xfId="279" xr:uid="{9836D587-15A9-4614-9262-B181FF1750DA}"/>
    <cellStyle name="20% - Accent6 7 2" xfId="3548" xr:uid="{E50222D8-2C85-465C-AE95-926BFAB6FAD2}"/>
    <cellStyle name="20% - Accent6 7 3" xfId="3549" xr:uid="{369BA5F1-E8C0-4B25-A0A6-EDCB970FDEAF}"/>
    <cellStyle name="20% - Accent6 7 4" xfId="3550" xr:uid="{7BFFDE8A-CAD8-4D73-9C03-B88FE0A5E4A8}"/>
    <cellStyle name="20% - Accent6 8" xfId="280" xr:uid="{CA8B219E-DDA7-4D0A-BEBE-2C3BFF1934C1}"/>
    <cellStyle name="20% - Accent6 8 2" xfId="3551" xr:uid="{4380B4DE-ED35-4444-BEDB-7BF12FD93BD2}"/>
    <cellStyle name="20% - Accent6 8 3" xfId="3552" xr:uid="{21758654-D92A-42B2-91AA-361189B4434B}"/>
    <cellStyle name="20% - Accent6 8 4" xfId="3553" xr:uid="{095FEC9E-EBC6-4411-9050-B091C8034EA9}"/>
    <cellStyle name="20% - Accent6 9" xfId="281" xr:uid="{1A1D8138-9DE2-44F2-91AA-D99605F13AA0}"/>
    <cellStyle name="20% - Accent6 9 2" xfId="3554" xr:uid="{E2EE3CB8-B847-4DBE-B791-4C1A38D68BDD}"/>
    <cellStyle name="20% - Accent6 9 3" xfId="3555" xr:uid="{9D51607D-CA32-4DFC-9B94-4A862D933B60}"/>
    <cellStyle name="20% - Accent6 9 4" xfId="3556" xr:uid="{3DCD3F0D-9987-46D6-972B-FA3A14782069}"/>
    <cellStyle name="40% - Accent1 10" xfId="282" xr:uid="{66F835E0-FBD6-470F-9A29-D99FEDCA2403}"/>
    <cellStyle name="40% - Accent1 10 2" xfId="3557" xr:uid="{62B04863-04F6-4DDC-A542-447B19FF1A1E}"/>
    <cellStyle name="40% - Accent1 10 3" xfId="3558" xr:uid="{9042FFB1-F9B7-445A-B56D-0FD9B9B0AE70}"/>
    <cellStyle name="40% - Accent1 10 4" xfId="3559" xr:uid="{91B29FDA-4A4F-41B4-9AB0-C40B87BCF4CC}"/>
    <cellStyle name="40% - Accent1 11" xfId="283" xr:uid="{9D01DA7E-6B03-49A0-AD42-1CCA127A3D15}"/>
    <cellStyle name="40% - Accent1 11 2" xfId="3560" xr:uid="{31154127-157C-42B4-BCFC-F9FF5A93E602}"/>
    <cellStyle name="40% - Accent1 11 3" xfId="3561" xr:uid="{D5E7DD20-D0EB-416A-AA6B-C8471ABFC97D}"/>
    <cellStyle name="40% - Accent1 11 4" xfId="3562" xr:uid="{D913D9FF-7132-475F-B9A4-E5DA7F9C0246}"/>
    <cellStyle name="40% - Accent1 12" xfId="284" xr:uid="{2B63A8E7-633E-4E15-A657-9CF679DD97C1}"/>
    <cellStyle name="40% - Accent1 12 2" xfId="3563" xr:uid="{7B134C00-1A9E-439C-B769-DDE4F5F6A273}"/>
    <cellStyle name="40% - Accent1 12 3" xfId="3564" xr:uid="{D7E2C422-A1DF-44F5-ACED-3F708ABA4E5B}"/>
    <cellStyle name="40% - Accent1 12 4" xfId="3565" xr:uid="{7F0F73B7-09C8-4461-BAE9-0A54A001817D}"/>
    <cellStyle name="40% - Accent1 13" xfId="285" xr:uid="{6D900543-DA6E-4A74-A1D9-9A21A99FA361}"/>
    <cellStyle name="40% - Accent1 13 2" xfId="3566" xr:uid="{C6B3CBA4-5C99-459F-8E00-3387C111AE4A}"/>
    <cellStyle name="40% - Accent1 13 3" xfId="3567" xr:uid="{E7C8977D-0578-4801-BAC0-C8FF4E7161B9}"/>
    <cellStyle name="40% - Accent1 13 4" xfId="3568" xr:uid="{DD7FB80D-C75F-4831-9311-1B2DECF009AB}"/>
    <cellStyle name="40% - Accent1 14" xfId="286" xr:uid="{096C089B-04F1-4AE8-A593-90101BAB06AE}"/>
    <cellStyle name="40% - Accent1 14 2" xfId="3569" xr:uid="{76C4048F-8081-4E80-B2E7-C46AAAA13C82}"/>
    <cellStyle name="40% - Accent1 14 3" xfId="3570" xr:uid="{DCC09D36-C89C-40B0-925F-B96207AD2963}"/>
    <cellStyle name="40% - Accent1 14 4" xfId="3571" xr:uid="{77125582-C2D5-42EA-942E-681B6B83FF10}"/>
    <cellStyle name="40% - Accent1 15" xfId="287" xr:uid="{0C950D9A-F6B9-402B-8EF3-394C090A6FBE}"/>
    <cellStyle name="40% - Accent1 15 2" xfId="3572" xr:uid="{41CB36A5-597D-4B1C-887F-A54D3328C172}"/>
    <cellStyle name="40% - Accent1 15 3" xfId="3573" xr:uid="{7C28B815-A8BD-4AAC-9F03-961F83DD5EE7}"/>
    <cellStyle name="40% - Accent1 15 4" xfId="3574" xr:uid="{838EA972-E494-4AAE-93D5-CAA8498C5742}"/>
    <cellStyle name="40% - Accent1 16" xfId="288" xr:uid="{8A8601EF-3051-4BAC-8ED6-54AD72B17B28}"/>
    <cellStyle name="40% - Accent1 16 2" xfId="3575" xr:uid="{38801AB0-6724-440A-AF68-D8BFA38F7BC2}"/>
    <cellStyle name="40% - Accent1 16 3" xfId="3576" xr:uid="{125B05E6-F940-40B6-B405-B70705B14CF9}"/>
    <cellStyle name="40% - Accent1 16 4" xfId="3577" xr:uid="{C1D92EA3-1CAE-4B0C-BB1B-9C3FFA35FE49}"/>
    <cellStyle name="40% - Accent1 17" xfId="289" xr:uid="{500202EE-5915-4C28-96A0-78C3B50E2C5B}"/>
    <cellStyle name="40% - Accent1 17 2" xfId="3578" xr:uid="{AD47B945-32E9-4DB3-BA54-CCAED40CF436}"/>
    <cellStyle name="40% - Accent1 17 3" xfId="3579" xr:uid="{A8B7F9E6-99B6-4EAC-84B1-706DBE6C01C7}"/>
    <cellStyle name="40% - Accent1 17 4" xfId="3580" xr:uid="{0CD7A862-48F8-4E63-9328-1B450B14B253}"/>
    <cellStyle name="40% - Accent1 18" xfId="290" xr:uid="{2CFA3B45-3D14-4E28-A1AB-69CCB1000042}"/>
    <cellStyle name="40% - Accent1 18 2" xfId="3581" xr:uid="{FF61C1BB-9BFB-4968-B5DF-C68B77E2EFDD}"/>
    <cellStyle name="40% - Accent1 18 3" xfId="3582" xr:uid="{2B4BF0AE-A814-481A-AB89-C04919805CD2}"/>
    <cellStyle name="40% - Accent1 18 4" xfId="3583" xr:uid="{E2537574-2C9C-4537-8529-0AC96163C8B7}"/>
    <cellStyle name="40% - Accent1 19" xfId="291" xr:uid="{945F72ED-EAA0-44E4-8856-B7B18D44D899}"/>
    <cellStyle name="40% - Accent1 19 2" xfId="3584" xr:uid="{19E2AE57-C1B5-4B38-8630-DA73B2869E6A}"/>
    <cellStyle name="40% - Accent1 19 3" xfId="3585" xr:uid="{0E4DB181-04B3-42FA-94B7-68B93C6D7F22}"/>
    <cellStyle name="40% - Accent1 19 4" xfId="3586" xr:uid="{78617E59-CA27-412E-A4A4-09B01908D189}"/>
    <cellStyle name="40% - Accent1 2" xfId="292" xr:uid="{F5F5C95A-FE91-4110-893D-9A4C5371C742}"/>
    <cellStyle name="40% - Accent1 2 2" xfId="293" xr:uid="{20D94CA0-3D24-4914-8D20-7CEF0344523D}"/>
    <cellStyle name="40% - Accent1 2 2 2" xfId="2384" xr:uid="{B945B5A6-287B-4849-BC95-C36AF8F9587C}"/>
    <cellStyle name="40% - Accent1 2 2 2 2" xfId="3587" xr:uid="{2B9B6B85-BABD-4FB7-A64A-C1B4A70727A2}"/>
    <cellStyle name="40% - Accent1 2 2 2 3" xfId="3588" xr:uid="{35F7185D-18D8-4501-804D-D04759064F3C}"/>
    <cellStyle name="40% - Accent1 2 2 2 4" xfId="3589" xr:uid="{71554B50-8ED3-4FEE-8FD0-BC4A6FC6C0D9}"/>
    <cellStyle name="40% - Accent1 2 2 3" xfId="2383" xr:uid="{E1853512-AFB6-4AC8-93C4-147C82B78B2A}"/>
    <cellStyle name="40% - Accent1 2 2 3 2" xfId="3590" xr:uid="{6F3DF941-3D7E-4EA9-9398-0D4051012380}"/>
    <cellStyle name="40% - Accent1 2 2 3 2 2" xfId="3591" xr:uid="{6BFE8F23-1133-4CC8-AFC5-E1B1232CE2B1}"/>
    <cellStyle name="40% - Accent1 2 2 3 2_Exist Trunk Assets - Ferry" xfId="8445" xr:uid="{097D491D-87A1-403C-BA10-7FCF9F03FD3A}"/>
    <cellStyle name="40% - Accent1 2 2 3 3" xfId="3592" xr:uid="{5E28122F-7CE9-48E9-87AB-C778BCF24C15}"/>
    <cellStyle name="40% - Accent1 2 2 3 3 2" xfId="3593" xr:uid="{A3DC1681-9A65-444D-BBDF-6AA22D7C90D1}"/>
    <cellStyle name="40% - Accent1 2 2 3 3_Exist Trunk Assets - Ferry" xfId="8446" xr:uid="{DF0FEB0E-82C7-4041-B690-E73E4E9154BB}"/>
    <cellStyle name="40% - Accent1 2 2 3 4" xfId="3594" xr:uid="{13123554-6A34-4B0D-B62C-46AB05CAE412}"/>
    <cellStyle name="40% - Accent1 2 2 3_Exist Trunk Assets - Ferry" xfId="8444" xr:uid="{FD5F7162-8EE2-471E-9883-9BC9CE422BA9}"/>
    <cellStyle name="40% - Accent1 2 2 4" xfId="3595" xr:uid="{6143666E-4694-415D-BD32-C9DFCE49F59B}"/>
    <cellStyle name="40% - Accent1 2 2 5" xfId="3596" xr:uid="{A6ABA050-E85B-4424-BBDB-11319CEF37E4}"/>
    <cellStyle name="40% - Accent1 2 2 6" xfId="3597" xr:uid="{246E2411-776B-422C-B5C6-FBDF9F891A4E}"/>
    <cellStyle name="40% - Accent1 2 3" xfId="294" xr:uid="{31EFF2AC-9578-418A-8A44-83036ECA2BCE}"/>
    <cellStyle name="40% - Accent1 2 3 2" xfId="3598" xr:uid="{B872FFE2-89C3-4900-9EC1-ADD90CB3B35B}"/>
    <cellStyle name="40% - Accent1 2 3 2 2" xfId="3599" xr:uid="{FFC7102B-8D2F-471E-B97C-0E05BC12D058}"/>
    <cellStyle name="40% - Accent1 2 3 2_Exist Trunk Assets - Ferry" xfId="8448" xr:uid="{C575FAB9-B816-4606-93F3-4DC67DC697D4}"/>
    <cellStyle name="40% - Accent1 2 3 3" xfId="3600" xr:uid="{EFAE72B3-73C4-42E8-8B38-169AA046F3D6}"/>
    <cellStyle name="40% - Accent1 2 3 3 2" xfId="3601" xr:uid="{314C3D7D-4C47-402B-B2D8-8BDB9E126988}"/>
    <cellStyle name="40% - Accent1 2 3 3_Exist Trunk Assets - Ferry" xfId="8449" xr:uid="{035C62BF-EFAC-4891-8B7C-F8F3AD1012CE}"/>
    <cellStyle name="40% - Accent1 2 3 4" xfId="3602" xr:uid="{F1B0F303-5D18-4172-869A-0BF04127D5A1}"/>
    <cellStyle name="40% - Accent1 2 3_Exist Trunk Assets - Ferry" xfId="8447" xr:uid="{97CBC494-1410-4101-A84C-A72DA78A703F}"/>
    <cellStyle name="40% - Accent1 2 4" xfId="3603" xr:uid="{220B6400-5D61-44E6-964B-2B746E21C6C3}"/>
    <cellStyle name="40% - Accent1 2 4 2" xfId="3604" xr:uid="{9C0BEA36-F378-46F5-AF7B-58F4086B840D}"/>
    <cellStyle name="40% - Accent1 2 4_Exist Trunk Assets - Ferry" xfId="8450" xr:uid="{03D62B96-3461-4CEB-AF9F-4B44332BA353}"/>
    <cellStyle name="40% - Accent1 2 5" xfId="3605" xr:uid="{67242236-A0F4-4A34-B0E2-CA5CAA5C20CB}"/>
    <cellStyle name="40% - Accent1 2 5 2" xfId="3606" xr:uid="{C8D4CEAD-D472-4300-BBDF-27B7DC06A9FB}"/>
    <cellStyle name="40% - Accent1 2 5_Exist Trunk Assets - Ferry" xfId="8451" xr:uid="{FEF8492D-E4F7-4AB1-A0C8-048893021739}"/>
    <cellStyle name="40% - Accent1 2 6" xfId="3607" xr:uid="{FF534A62-5314-425B-8584-24D1FCD143E7}"/>
    <cellStyle name="40% - Accent1 2 7" xfId="8131" xr:uid="{FA041FD0-961B-4EFF-AD1F-059E93DA73FF}"/>
    <cellStyle name="40% - Accent1 2_Exist Trunk Assets - Ferry" xfId="8443" xr:uid="{392C6647-1427-4FF7-A7BA-57C0C6996384}"/>
    <cellStyle name="40% - Accent1 20" xfId="295" xr:uid="{FE8A0CC6-E541-4AAE-8209-36A2B77D66A1}"/>
    <cellStyle name="40% - Accent1 20 2" xfId="3608" xr:uid="{47E79BB5-74F1-4C6A-997A-3D0E493B673E}"/>
    <cellStyle name="40% - Accent1 20 3" xfId="3609" xr:uid="{2388A136-E909-492E-A6FF-F120C32564E2}"/>
    <cellStyle name="40% - Accent1 20 4" xfId="3610" xr:uid="{369F2882-2CE6-4FE6-BFBF-0AD14DF4187D}"/>
    <cellStyle name="40% - Accent1 21" xfId="296" xr:uid="{8F8BB87D-6109-42A0-9D42-422486B190B5}"/>
    <cellStyle name="40% - Accent1 21 2" xfId="3611" xr:uid="{914ABA90-1C67-4FC3-96A7-23DF4CC0184B}"/>
    <cellStyle name="40% - Accent1 21 3" xfId="3612" xr:uid="{CEF2A49E-1B51-4591-A929-8D71555DBB12}"/>
    <cellStyle name="40% - Accent1 21 4" xfId="3613" xr:uid="{96961AC2-7E3B-48B9-BFF2-C2133ADF1B40}"/>
    <cellStyle name="40% - Accent1 22" xfId="297" xr:uid="{CF611265-E4BB-4403-86B3-434F40F798BA}"/>
    <cellStyle name="40% - Accent1 22 2" xfId="3614" xr:uid="{257FAA45-C422-4B72-B76A-4F0E88767EFA}"/>
    <cellStyle name="40% - Accent1 22 3" xfId="3615" xr:uid="{B49177B5-FBCE-41BB-B5CD-5DEDD597D268}"/>
    <cellStyle name="40% - Accent1 22 4" xfId="3616" xr:uid="{7B5C909B-05E3-47F5-A5A2-B1FA4654EAA1}"/>
    <cellStyle name="40% - Accent1 23" xfId="298" xr:uid="{DB28EEFB-96AE-4A57-9766-CB3C489A650D}"/>
    <cellStyle name="40% - Accent1 23 2" xfId="3617" xr:uid="{D700563F-1C46-437F-B69C-1BE5EAC6C870}"/>
    <cellStyle name="40% - Accent1 23 3" xfId="3618" xr:uid="{9D245259-F56B-4DD4-B96A-82B5A7EBCE5D}"/>
    <cellStyle name="40% - Accent1 23 4" xfId="3619" xr:uid="{0C62C9AA-7E84-4136-A25E-D837C4C21243}"/>
    <cellStyle name="40% - Accent1 24" xfId="299" xr:uid="{9291102F-7466-43D6-AE56-C6DA6A8A16E2}"/>
    <cellStyle name="40% - Accent1 24 2" xfId="3620" xr:uid="{18AA90A1-FCAE-49A9-A48D-612A7D4FB982}"/>
    <cellStyle name="40% - Accent1 24 3" xfId="3621" xr:uid="{F261D383-77AD-4A56-9002-A2ED296F86B5}"/>
    <cellStyle name="40% - Accent1 24 4" xfId="3622" xr:uid="{CD5F7E27-DFCC-4DB6-8EDB-1450065B5244}"/>
    <cellStyle name="40% - Accent1 25" xfId="300" xr:uid="{8682226C-1ABB-4CA0-86DD-870A64827A7A}"/>
    <cellStyle name="40% - Accent1 25 2" xfId="3623" xr:uid="{22A2EC04-7C02-4FB0-8FCB-8490B1794CC5}"/>
    <cellStyle name="40% - Accent1 25 3" xfId="3624" xr:uid="{2BBFAF8B-156C-4406-9F64-EC04AB3FBC16}"/>
    <cellStyle name="40% - Accent1 25 4" xfId="3625" xr:uid="{2AEFA067-E2D6-4D06-8568-640B0F08EBB2}"/>
    <cellStyle name="40% - Accent1 26" xfId="301" xr:uid="{82AC29B5-B2E3-4672-BAB0-FE1FF2C92E6C}"/>
    <cellStyle name="40% - Accent1 26 2" xfId="3626" xr:uid="{07816043-1DA6-4076-9938-43BE4A9422B5}"/>
    <cellStyle name="40% - Accent1 26 3" xfId="3627" xr:uid="{11D792ED-EC0E-4EDE-B46C-F5055ACF6B60}"/>
    <cellStyle name="40% - Accent1 26 4" xfId="3628" xr:uid="{9DAB76A7-82E2-4441-BE65-C93075D1E142}"/>
    <cellStyle name="40% - Accent1 27" xfId="302" xr:uid="{E03C2D23-3E2D-40FF-971E-188395E96FFC}"/>
    <cellStyle name="40% - Accent1 27 2" xfId="3629" xr:uid="{CCA7C705-356F-4516-97BA-7FB20E1CF203}"/>
    <cellStyle name="40% - Accent1 27 3" xfId="3630" xr:uid="{3263F8A8-8B28-4F04-8714-568D2D8D418A}"/>
    <cellStyle name="40% - Accent1 27 4" xfId="3631" xr:uid="{F1022922-5D9C-4818-B68C-FC5CA3516C29}"/>
    <cellStyle name="40% - Accent1 28" xfId="303" xr:uid="{17EABC49-5210-4137-BF38-E8C250114E55}"/>
    <cellStyle name="40% - Accent1 28 2" xfId="3632" xr:uid="{76A6E1A1-A25F-4981-84D2-BAD8CE7465CC}"/>
    <cellStyle name="40% - Accent1 28 3" xfId="3633" xr:uid="{D5855A34-182D-4BA3-B802-634763D7AC3E}"/>
    <cellStyle name="40% - Accent1 28 4" xfId="3634" xr:uid="{A38A6C75-F855-4F36-B5E0-3D2D440FCC64}"/>
    <cellStyle name="40% - Accent1 29" xfId="304" xr:uid="{2E57BB5E-9FEE-444A-9171-E9D20968BF15}"/>
    <cellStyle name="40% - Accent1 29 2" xfId="3635" xr:uid="{B5E0F8BE-9FC6-46BA-9F7E-CF3DD635FECB}"/>
    <cellStyle name="40% - Accent1 29 3" xfId="3636" xr:uid="{F1C6CB23-0D35-4D7D-A0FE-754F09F1F219}"/>
    <cellStyle name="40% - Accent1 29 4" xfId="3637" xr:uid="{88FB77D3-CC1B-415F-9A61-D0A58213247C}"/>
    <cellStyle name="40% - Accent1 3" xfId="305" xr:uid="{C8CB817F-E418-4622-AA98-26FA97F606B3}"/>
    <cellStyle name="40% - Accent1 3 2" xfId="306" xr:uid="{373831C8-4463-46E8-97D2-6E4D90301C91}"/>
    <cellStyle name="40% - Accent1 3 2 2" xfId="3638" xr:uid="{A7CA6554-EA48-4287-AC0B-77537F4A6FAC}"/>
    <cellStyle name="40% - Accent1 3 2 2 2" xfId="3639" xr:uid="{1555D437-5DA1-4AD2-A974-A0A1D5F6A069}"/>
    <cellStyle name="40% - Accent1 3 2 2_Exist Trunk Assets - Ferry" xfId="8454" xr:uid="{336C86EE-B706-4CCC-98DA-FFAF8435CBCB}"/>
    <cellStyle name="40% - Accent1 3 2 3" xfId="3640" xr:uid="{70B7FFEA-7429-4513-A150-AA893D593C5E}"/>
    <cellStyle name="40% - Accent1 3 2 3 2" xfId="3641" xr:uid="{5EB8CD54-5706-4145-B8B0-0930D319B227}"/>
    <cellStyle name="40% - Accent1 3 2 3_Exist Trunk Assets - Ferry" xfId="8455" xr:uid="{5BEAD1CC-C6A5-4435-B735-7403D574BF57}"/>
    <cellStyle name="40% - Accent1 3 2 4" xfId="3642" xr:uid="{74738CFA-3FFB-425D-92B2-78C533F6AF2C}"/>
    <cellStyle name="40% - Accent1 3 2_Exist Trunk Assets - Ferry" xfId="8453" xr:uid="{6A087AB6-AED9-42BD-B6D2-8549406BBD10}"/>
    <cellStyle name="40% - Accent1 3 3" xfId="1851" xr:uid="{7CF55EB8-AAB7-4C40-992A-966BA2F86E24}"/>
    <cellStyle name="40% - Accent1 3 3 2" xfId="3643" xr:uid="{2269EF74-CB0C-4367-88BB-D03A81B36237}"/>
    <cellStyle name="40% - Accent1 3 3 3" xfId="3644" xr:uid="{3F83EF06-CBB2-416E-8B3C-BBB1FFEE0553}"/>
    <cellStyle name="40% - Accent1 3 3 4" xfId="3645" xr:uid="{A1A8A292-2CA0-44CF-86EC-CEA3CDEDA782}"/>
    <cellStyle name="40% - Accent1 3 4" xfId="3646" xr:uid="{4DA3BE44-F2D2-4346-B5E6-76A1F6C85976}"/>
    <cellStyle name="40% - Accent1 3 4 2" xfId="3647" xr:uid="{358120F9-F23E-4BBE-A9D2-A9388DE7C90B}"/>
    <cellStyle name="40% - Accent1 3 4_Exist Trunk Assets - Ferry" xfId="8456" xr:uid="{017BA924-3A47-4149-97CE-B537CA00FAA0}"/>
    <cellStyle name="40% - Accent1 3 5" xfId="3648" xr:uid="{D37B6337-5D42-4942-BD5C-2A8DC9B3933A}"/>
    <cellStyle name="40% - Accent1 3 5 2" xfId="3649" xr:uid="{10415362-AC50-4AFF-A917-A51141EB1363}"/>
    <cellStyle name="40% - Accent1 3 5_Exist Trunk Assets - Ferry" xfId="8457" xr:uid="{9F13BAD3-2B08-4FEB-B29C-5B84A583C8B5}"/>
    <cellStyle name="40% - Accent1 3 6" xfId="3650" xr:uid="{3A3AF23D-5319-4ED5-83B8-CC1837975C6D}"/>
    <cellStyle name="40% - Accent1 3_Exist Trunk Assets - Ferry" xfId="8452" xr:uid="{DA0A3926-6C1A-4852-A5F8-CA9A7C02F1E9}"/>
    <cellStyle name="40% - Accent1 30" xfId="307" xr:uid="{C59C05D3-01E2-4E32-BF9C-88BA8C7ACBFB}"/>
    <cellStyle name="40% - Accent1 30 2" xfId="3651" xr:uid="{B52DE919-D2EC-4DF0-A41B-DA82E8127EEE}"/>
    <cellStyle name="40% - Accent1 30 3" xfId="3652" xr:uid="{E7CD388D-6514-4A81-BAD4-D88375B6097A}"/>
    <cellStyle name="40% - Accent1 30 4" xfId="3653" xr:uid="{BDC9889D-E364-49B5-A3B8-C7B068C4030F}"/>
    <cellStyle name="40% - Accent1 31" xfId="308" xr:uid="{4BB20953-9725-40EB-BC04-5182429F9A24}"/>
    <cellStyle name="40% - Accent1 31 2" xfId="3654" xr:uid="{AE3AE7FE-DE19-46BD-8B78-91E386C01779}"/>
    <cellStyle name="40% - Accent1 31 3" xfId="3655" xr:uid="{64DDFA69-773E-4AA4-ABE5-FF6096A97A0F}"/>
    <cellStyle name="40% - Accent1 31 4" xfId="3656" xr:uid="{0BA545CD-6FCC-4FD3-B315-DB7013E44AE5}"/>
    <cellStyle name="40% - Accent1 32" xfId="309" xr:uid="{6D5FFDDF-854C-4D7F-9B16-426F4B7F4922}"/>
    <cellStyle name="40% - Accent1 32 2" xfId="3657" xr:uid="{73043B2C-DD9F-489F-9ABA-F4AD5E99F399}"/>
    <cellStyle name="40% - Accent1 32 3" xfId="3658" xr:uid="{9227BB13-40E6-4FDA-BCBA-B34B68C56CC3}"/>
    <cellStyle name="40% - Accent1 32 4" xfId="3659" xr:uid="{0B8DF407-251F-4D8A-A5B2-6E9A13494C9A}"/>
    <cellStyle name="40% - Accent1 33" xfId="310" xr:uid="{D21F7ED5-1915-4EE5-BA1E-33C1037E0A62}"/>
    <cellStyle name="40% - Accent1 33 2" xfId="3660" xr:uid="{A1D50DB5-4B76-4DFA-8D75-C2683009BAAE}"/>
    <cellStyle name="40% - Accent1 33 3" xfId="3661" xr:uid="{7C9B3BF2-F88D-4101-BBE8-EB4C45DCF7C2}"/>
    <cellStyle name="40% - Accent1 33 4" xfId="3662" xr:uid="{F71FA1AE-FAD2-466B-B5E8-30956F5A3D6E}"/>
    <cellStyle name="40% - Accent1 34" xfId="311" xr:uid="{26C27E6D-1B07-4FA5-9B16-17AEDDA84EA3}"/>
    <cellStyle name="40% - Accent1 34 2" xfId="3663" xr:uid="{947690E4-A00E-44FC-AF2D-EA31F04C55AB}"/>
    <cellStyle name="40% - Accent1 34 3" xfId="3664" xr:uid="{2A93689A-CBDB-47B9-A501-2BEFB43E9FFE}"/>
    <cellStyle name="40% - Accent1 34 4" xfId="3665" xr:uid="{A43F15D8-8681-4785-820C-440ABB805395}"/>
    <cellStyle name="40% - Accent1 35" xfId="312" xr:uid="{A636A7FA-9CA5-4108-A403-51004D21C8E1}"/>
    <cellStyle name="40% - Accent1 35 2" xfId="3666" xr:uid="{9E2B4D8D-FEAA-4ADB-937D-745D71468441}"/>
    <cellStyle name="40% - Accent1 35 3" xfId="3667" xr:uid="{FEA6F748-48F5-4760-ADCC-4D0A08F38538}"/>
    <cellStyle name="40% - Accent1 35 4" xfId="3668" xr:uid="{C30672A4-5D7D-4D64-BFC5-410242D2DAF3}"/>
    <cellStyle name="40% - Accent1 36" xfId="313" xr:uid="{3C3185C9-9495-412E-AE34-2F89F77A9FC2}"/>
    <cellStyle name="40% - Accent1 36 2" xfId="3669" xr:uid="{73C4980C-3B5D-41BB-9F5A-67C56AAEA848}"/>
    <cellStyle name="40% - Accent1 36 3" xfId="3670" xr:uid="{4FB601B3-7182-4A92-B4D0-E922B2EE25D6}"/>
    <cellStyle name="40% - Accent1 36 4" xfId="3671" xr:uid="{42C8FE91-2105-4ACB-90E6-7809DE371E77}"/>
    <cellStyle name="40% - Accent1 37" xfId="314" xr:uid="{02EF13BD-889C-4456-A2E0-09B60286F9D3}"/>
    <cellStyle name="40% - Accent1 37 2" xfId="3672" xr:uid="{5A42E1AD-C6BA-4FE1-9082-3D2F421FD0CF}"/>
    <cellStyle name="40% - Accent1 37 3" xfId="3673" xr:uid="{7A4003C4-9A9C-4E71-9994-6A20559D8FFC}"/>
    <cellStyle name="40% - Accent1 37 4" xfId="3674" xr:uid="{3DA7EC6C-C2EE-49F5-91E8-E83101DBD3DF}"/>
    <cellStyle name="40% - Accent1 38" xfId="315" xr:uid="{BB25044D-D45C-4A95-BCD0-1A898FA48F8C}"/>
    <cellStyle name="40% - Accent1 38 2" xfId="3675" xr:uid="{276D746E-55C4-4805-90E0-1D3BD198702F}"/>
    <cellStyle name="40% - Accent1 38 3" xfId="3676" xr:uid="{823EE359-EAFE-4F16-AF0A-A97A2B125F2B}"/>
    <cellStyle name="40% - Accent1 38 4" xfId="3677" xr:uid="{3245C649-96A1-4042-BFFC-97A1269BA894}"/>
    <cellStyle name="40% - Accent1 39" xfId="316" xr:uid="{FF06B34C-E59F-4BE6-BAB5-CDAB94193235}"/>
    <cellStyle name="40% - Accent1 39 2" xfId="3678" xr:uid="{B137F26E-C7D8-4363-9085-05D295059A22}"/>
    <cellStyle name="40% - Accent1 39 3" xfId="3679" xr:uid="{31497DF6-00B5-46BC-8344-FC644988308E}"/>
    <cellStyle name="40% - Accent1 39 4" xfId="3680" xr:uid="{C423F647-A9A4-4003-806F-671A7BBC83D8}"/>
    <cellStyle name="40% - Accent1 4" xfId="317" xr:uid="{35A5CF1E-E1D1-468B-851B-493597E47A2C}"/>
    <cellStyle name="40% - Accent1 4 2" xfId="318" xr:uid="{29D10D59-F0DC-4E06-8C7A-C7922022E4ED}"/>
    <cellStyle name="40% - Accent1 4 2 2" xfId="3681" xr:uid="{5E676044-5228-42A3-9E6D-EE43E2454825}"/>
    <cellStyle name="40% - Accent1 4 2 2 2" xfId="3682" xr:uid="{BFECDCC1-241B-4987-861E-A44D0361038B}"/>
    <cellStyle name="40% - Accent1 4 2 2_Exist Trunk Assets - Ferry" xfId="8460" xr:uid="{C4D8109A-E582-47CF-801E-EF5AEB90128F}"/>
    <cellStyle name="40% - Accent1 4 2 3" xfId="3683" xr:uid="{6A28D8F9-1162-4D43-BB24-8FDD43B6477F}"/>
    <cellStyle name="40% - Accent1 4 2 3 2" xfId="3684" xr:uid="{3AEAD9BC-2942-4567-93FD-A2BC529301E7}"/>
    <cellStyle name="40% - Accent1 4 2 3_Exist Trunk Assets - Ferry" xfId="8461" xr:uid="{FEC60180-E18E-4479-9FE6-1F24EE6E8B20}"/>
    <cellStyle name="40% - Accent1 4 2 4" xfId="3685" xr:uid="{896C5CB0-9380-49E2-9BCA-F2DD19429159}"/>
    <cellStyle name="40% - Accent1 4 2_Exist Trunk Assets - Ferry" xfId="8459" xr:uid="{B77BB36C-30C1-447E-9E83-BDCB93C7479D}"/>
    <cellStyle name="40% - Accent1 4 3" xfId="1852" xr:uid="{B86F20C8-7718-48F9-860B-6C0FA0613759}"/>
    <cellStyle name="40% - Accent1 4 3 2" xfId="3686" xr:uid="{02EB54B7-76E4-414B-AE9A-1C892D8C34D7}"/>
    <cellStyle name="40% - Accent1 4 3 3" xfId="3687" xr:uid="{300A1EF3-6BA4-45CE-BF80-C4004BBBBB1E}"/>
    <cellStyle name="40% - Accent1 4 3 4" xfId="3688" xr:uid="{A1301EC0-EDD3-4391-8757-BE3D784CFF08}"/>
    <cellStyle name="40% - Accent1 4 4" xfId="3689" xr:uid="{6DC37852-2A9C-419E-BD47-A16BA19A4F66}"/>
    <cellStyle name="40% - Accent1 4 4 2" xfId="3690" xr:uid="{89DB3E34-0508-4780-9560-751FB7CDE7BC}"/>
    <cellStyle name="40% - Accent1 4 4_Exist Trunk Assets - Ferry" xfId="8462" xr:uid="{5F7139F7-B396-4A71-ACC3-2873E10FA731}"/>
    <cellStyle name="40% - Accent1 4 5" xfId="3691" xr:uid="{0B228D88-6A55-46AB-8172-C6F207A0B080}"/>
    <cellStyle name="40% - Accent1 4 5 2" xfId="3692" xr:uid="{F80C7DEE-1216-4CB7-921D-20775ADC7658}"/>
    <cellStyle name="40% - Accent1 4 5_Exist Trunk Assets - Ferry" xfId="8463" xr:uid="{F75B7CC1-77F8-4D17-A813-3CBF15BF03E4}"/>
    <cellStyle name="40% - Accent1 4 6" xfId="3693" xr:uid="{F7A55EFF-2B2E-44BC-9917-D0FFF6902CD8}"/>
    <cellStyle name="40% - Accent1 4_Exist Trunk Assets - Ferry" xfId="8458" xr:uid="{1F0E53C7-7878-4153-848C-726FFC90A346}"/>
    <cellStyle name="40% - Accent1 40" xfId="319" xr:uid="{2F4C0315-722F-4E17-BF13-C66F41D8F206}"/>
    <cellStyle name="40% - Accent1 40 2" xfId="3694" xr:uid="{B20C7B62-E88E-45CC-B3C2-390160E71FFE}"/>
    <cellStyle name="40% - Accent1 40 3" xfId="3695" xr:uid="{46B328D1-0DA7-4702-AD24-2BF39B2349B6}"/>
    <cellStyle name="40% - Accent1 40 4" xfId="3696" xr:uid="{FE0A92CA-08C5-4532-87D7-4C2C656D8B27}"/>
    <cellStyle name="40% - Accent1 5" xfId="320" xr:uid="{F3690186-6286-4EFF-991E-6D1A2F7F5140}"/>
    <cellStyle name="40% - Accent1 5 2" xfId="1850" xr:uid="{E0ED9F53-C33A-4DB7-8795-DA775878E949}"/>
    <cellStyle name="40% - Accent1 5 2 2" xfId="2385" xr:uid="{F4BC937F-7287-4C1A-8DE5-619F8391B6FC}"/>
    <cellStyle name="40% - Accent1 5 2 2 2" xfId="3697" xr:uid="{958C0EEE-DF0E-47E8-AAE7-37765095390F}"/>
    <cellStyle name="40% - Accent1 5 2 2 2 2" xfId="3698" xr:uid="{BDE3FEA7-2C8D-4271-8A1D-402012791A23}"/>
    <cellStyle name="40% - Accent1 5 2 2 2_Exist Trunk Assets - Ferry" xfId="8466" xr:uid="{A176805F-AC11-4C19-B7B8-0429BD3DE443}"/>
    <cellStyle name="40% - Accent1 5 2 2 3" xfId="3699" xr:uid="{B7D07AA8-F32B-4C6C-9A19-D4C8C2715B1C}"/>
    <cellStyle name="40% - Accent1 5 2 2 3 2" xfId="3700" xr:uid="{775BE298-DDC0-4E29-BA0B-036DAB58EFC4}"/>
    <cellStyle name="40% - Accent1 5 2 2 3_Exist Trunk Assets - Ferry" xfId="8467" xr:uid="{6F5248A0-56E0-4ABC-BD49-01111FEC78DB}"/>
    <cellStyle name="40% - Accent1 5 2 2 4" xfId="3701" xr:uid="{997F4530-ADBB-4931-BCF0-057A3EDE5474}"/>
    <cellStyle name="40% - Accent1 5 2 2_Exist Trunk Assets - Ferry" xfId="8465" xr:uid="{BE7BD298-0057-4C13-8EFE-9219C8DC5C36}"/>
    <cellStyle name="40% - Accent1 5 2 3" xfId="3702" xr:uid="{49C9AB18-050D-4BDE-B757-14A7EE9841D8}"/>
    <cellStyle name="40% - Accent1 5 2 4" xfId="3703" xr:uid="{E58C62DA-0028-454B-AEFA-D0CAF35497C8}"/>
    <cellStyle name="40% - Accent1 5 2 5" xfId="3704" xr:uid="{0FCC6AAF-80C7-4C5A-8761-85DE5B08F195}"/>
    <cellStyle name="40% - Accent1 5 3" xfId="3705" xr:uid="{1CABF9AE-4F14-478D-8DF3-457705D64462}"/>
    <cellStyle name="40% - Accent1 5 3 2" xfId="3706" xr:uid="{5EC73646-C8E2-4F75-A509-D1AD58447D9C}"/>
    <cellStyle name="40% - Accent1 5 3_Exist Trunk Assets - Ferry" xfId="8468" xr:uid="{741CA8E4-223C-4FFF-B987-6E1A8002276C}"/>
    <cellStyle name="40% - Accent1 5 4" xfId="3707" xr:uid="{731ADBDA-F746-4B99-B346-C1B4A8B4A86B}"/>
    <cellStyle name="40% - Accent1 5 4 2" xfId="3708" xr:uid="{C8A93CE5-0131-4F9C-BFD7-A8543767CE6C}"/>
    <cellStyle name="40% - Accent1 5 4_Exist Trunk Assets - Ferry" xfId="8469" xr:uid="{EE844311-B3A7-4290-9A40-9A2DC02323E5}"/>
    <cellStyle name="40% - Accent1 5 5" xfId="3709" xr:uid="{2D16AF88-B660-414B-B4B6-95FD23B9F487}"/>
    <cellStyle name="40% - Accent1 5_Exist Trunk Assets - Ferry" xfId="8464" xr:uid="{5B9EC6C4-8B69-4E6D-8675-B7E429C07047}"/>
    <cellStyle name="40% - Accent1 6" xfId="321" xr:uid="{96DD7916-1046-4405-9F9D-DB2363F6C4BF}"/>
    <cellStyle name="40% - Accent1 6 2" xfId="3710" xr:uid="{9C23470C-3598-449A-B86D-7994C17ACD13}"/>
    <cellStyle name="40% - Accent1 6 3" xfId="3711" xr:uid="{C2D3A6A0-B44D-46A5-ACC4-0FD1924E4699}"/>
    <cellStyle name="40% - Accent1 6 4" xfId="3712" xr:uid="{25DBA486-4EC1-4B11-9FBD-A6AF977132A8}"/>
    <cellStyle name="40% - Accent1 7" xfId="322" xr:uid="{4632AFDB-3FB9-42B6-AF07-5C4C969FE0A4}"/>
    <cellStyle name="40% - Accent1 7 2" xfId="3713" xr:uid="{B8910E83-8276-4B51-B28C-7F4F36C1A8B3}"/>
    <cellStyle name="40% - Accent1 7 3" xfId="3714" xr:uid="{8A990541-0026-4FEE-A3FD-43780E69DA30}"/>
    <cellStyle name="40% - Accent1 7 4" xfId="3715" xr:uid="{031FB34A-0E6C-4F66-B48D-69F6E8C101DA}"/>
    <cellStyle name="40% - Accent1 8" xfId="323" xr:uid="{70263B8E-C4A8-4C57-8AC5-414B93169E95}"/>
    <cellStyle name="40% - Accent1 8 2" xfId="3716" xr:uid="{6CDAC3A7-BE46-4AC1-8183-2014EF7360C3}"/>
    <cellStyle name="40% - Accent1 8 3" xfId="3717" xr:uid="{7CF7F04D-9250-4C74-ABBB-82CF671E045E}"/>
    <cellStyle name="40% - Accent1 8 4" xfId="3718" xr:uid="{025DD4C5-163A-4D15-B1D2-24A1CDBAF632}"/>
    <cellStyle name="40% - Accent1 9" xfId="324" xr:uid="{C076C05C-1E80-43F7-B7C0-F94EE71C7227}"/>
    <cellStyle name="40% - Accent1 9 2" xfId="3719" xr:uid="{98EA43E3-E828-431E-989D-7248B1D94A3A}"/>
    <cellStyle name="40% - Accent1 9 3" xfId="3720" xr:uid="{20DE8560-0CF9-4BAF-BA17-389205C41D94}"/>
    <cellStyle name="40% - Accent1 9 4" xfId="3721" xr:uid="{16F5CFB3-ADB8-430D-9BF6-37530724BA6C}"/>
    <cellStyle name="40% - Accent2 10" xfId="325" xr:uid="{8A09AE39-B17B-4A81-BA7C-0E53F3723BDF}"/>
    <cellStyle name="40% - Accent2 10 2" xfId="3722" xr:uid="{701CB02F-39B3-44CC-97A0-9C739A9A2907}"/>
    <cellStyle name="40% - Accent2 10 3" xfId="3723" xr:uid="{CAF6D199-C171-4B7B-8A65-325973CEC772}"/>
    <cellStyle name="40% - Accent2 10 4" xfId="3724" xr:uid="{D914D252-8800-478F-85D3-3BE4151E3B8B}"/>
    <cellStyle name="40% - Accent2 11" xfId="326" xr:uid="{E597486E-51AA-4D3D-9332-D9A27535148B}"/>
    <cellStyle name="40% - Accent2 11 2" xfId="3725" xr:uid="{9BC6DD10-0934-4848-9A40-38FCEB0BC83C}"/>
    <cellStyle name="40% - Accent2 11 3" xfId="3726" xr:uid="{B00E9442-3BC7-4059-924A-E16FFEDB5A83}"/>
    <cellStyle name="40% - Accent2 11 4" xfId="3727" xr:uid="{8DC98E8C-2564-4054-B26C-4F450DF8B9A8}"/>
    <cellStyle name="40% - Accent2 12" xfId="327" xr:uid="{EBC4035D-229E-4B90-B69E-EDB5C5AD458E}"/>
    <cellStyle name="40% - Accent2 12 2" xfId="3728" xr:uid="{3DCFC056-C082-4694-92A6-30E886C4E343}"/>
    <cellStyle name="40% - Accent2 12 3" xfId="3729" xr:uid="{99A35496-6DCE-4C59-8EE4-C840EE9DFABC}"/>
    <cellStyle name="40% - Accent2 12 4" xfId="3730" xr:uid="{8FE5CE29-A1EB-404C-9CB1-42A25EB61EB5}"/>
    <cellStyle name="40% - Accent2 13" xfId="328" xr:uid="{9D6FA8F5-B29C-4A3F-9934-4E765304957C}"/>
    <cellStyle name="40% - Accent2 13 2" xfId="3731" xr:uid="{0F9F4914-17EB-4C9F-A057-BAB44F478BC1}"/>
    <cellStyle name="40% - Accent2 13 3" xfId="3732" xr:uid="{C906124F-249D-4D89-BEBB-2ADEBCBBDE04}"/>
    <cellStyle name="40% - Accent2 13 4" xfId="3733" xr:uid="{4379D337-47B4-4F00-9D84-DA82D39C5706}"/>
    <cellStyle name="40% - Accent2 14" xfId="329" xr:uid="{7A10A21D-00F7-4706-B443-26E986D84E9B}"/>
    <cellStyle name="40% - Accent2 14 2" xfId="3734" xr:uid="{87356844-FFD9-4107-BAE9-6B912D218943}"/>
    <cellStyle name="40% - Accent2 14 3" xfId="3735" xr:uid="{D3BDD584-9A02-4B8B-B02C-1514DE2A256C}"/>
    <cellStyle name="40% - Accent2 14 4" xfId="3736" xr:uid="{45C2D98F-FE10-4237-9FDE-130277213A54}"/>
    <cellStyle name="40% - Accent2 15" xfId="330" xr:uid="{EB98F931-9FBD-414A-95DC-9FE874D173C7}"/>
    <cellStyle name="40% - Accent2 15 2" xfId="3737" xr:uid="{EEB29F02-361C-4819-9877-E5033B04FBD1}"/>
    <cellStyle name="40% - Accent2 15 3" xfId="3738" xr:uid="{330E1488-7619-4419-B4B8-994B79E46E36}"/>
    <cellStyle name="40% - Accent2 15 4" xfId="3739" xr:uid="{8D0179D9-6AE3-453B-8D50-1C27844E3767}"/>
    <cellStyle name="40% - Accent2 16" xfId="331" xr:uid="{2D4C4A2A-20FF-4565-9D26-D2F730732693}"/>
    <cellStyle name="40% - Accent2 16 2" xfId="3740" xr:uid="{B987EB75-E496-405E-8ECC-A64C503103AD}"/>
    <cellStyle name="40% - Accent2 16 3" xfId="3741" xr:uid="{C960B405-8EDB-49FE-B1A5-03503843792C}"/>
    <cellStyle name="40% - Accent2 16 4" xfId="3742" xr:uid="{7C358D35-4837-42C7-B971-CF8DA5053571}"/>
    <cellStyle name="40% - Accent2 17" xfId="332" xr:uid="{4E64FE76-412E-4CF7-816B-0B0A86D1BCE8}"/>
    <cellStyle name="40% - Accent2 17 2" xfId="3743" xr:uid="{3824A003-1032-4100-A8C9-00346B204C59}"/>
    <cellStyle name="40% - Accent2 17 3" xfId="3744" xr:uid="{4699B55C-F5CF-4C50-91DC-FAB0E7AFFE8C}"/>
    <cellStyle name="40% - Accent2 17 4" xfId="3745" xr:uid="{6FA3FA29-3149-4194-A0B8-D49E7FD2C9A5}"/>
    <cellStyle name="40% - Accent2 18" xfId="333" xr:uid="{18B492B1-AA74-4DCA-AD8F-4E8FFEBA730F}"/>
    <cellStyle name="40% - Accent2 18 2" xfId="3746" xr:uid="{5C271291-C947-40DE-9C0C-4F51455A6C8A}"/>
    <cellStyle name="40% - Accent2 18 3" xfId="3747" xr:uid="{73F4C588-1AA8-4562-9BBF-BCD4F519A8EB}"/>
    <cellStyle name="40% - Accent2 18 4" xfId="3748" xr:uid="{17BE348C-D813-44F0-9A54-D1A257CCDC23}"/>
    <cellStyle name="40% - Accent2 19" xfId="334" xr:uid="{96869E85-623F-4F9A-AA09-A6E655166038}"/>
    <cellStyle name="40% - Accent2 19 2" xfId="3749" xr:uid="{85E0C3FC-DE0C-4F57-885D-775DE49E225F}"/>
    <cellStyle name="40% - Accent2 19 3" xfId="3750" xr:uid="{82FFD3D1-8140-4300-B889-457AA00B172A}"/>
    <cellStyle name="40% - Accent2 19 4" xfId="3751" xr:uid="{35195595-D0F0-4A34-ABB7-90BD03B581CF}"/>
    <cellStyle name="40% - Accent2 2" xfId="335" xr:uid="{7B7A73FB-7D0B-4D1A-B814-57FD504F4D3D}"/>
    <cellStyle name="40% - Accent2 2 2" xfId="336" xr:uid="{4F836BFD-31ED-4F7F-8F4F-AB9EED81E962}"/>
    <cellStyle name="40% - Accent2 2 2 2" xfId="2387" xr:uid="{56EA192F-7003-4DC8-899B-6C60B0492310}"/>
    <cellStyle name="40% - Accent2 2 2 2 2" xfId="3752" xr:uid="{26BD0F4C-857A-44A6-8624-1F131E843419}"/>
    <cellStyle name="40% - Accent2 2 2 2 3" xfId="3753" xr:uid="{CB0670F7-A908-4DAC-B2F2-92711BBDE882}"/>
    <cellStyle name="40% - Accent2 2 2 2 4" xfId="3754" xr:uid="{4F488092-CB02-48F9-8598-775BB1E5CD7F}"/>
    <cellStyle name="40% - Accent2 2 2 3" xfId="2386" xr:uid="{44712F9F-EBA1-4036-BC52-6E6925F49FDA}"/>
    <cellStyle name="40% - Accent2 2 2 3 2" xfId="3755" xr:uid="{6C60B4F9-1F6A-4181-9835-224556B597D0}"/>
    <cellStyle name="40% - Accent2 2 2 3 2 2" xfId="3756" xr:uid="{25502D7C-84DE-4583-960E-0E1531F588AA}"/>
    <cellStyle name="40% - Accent2 2 2 3 2_Exist Trunk Assets - Ferry" xfId="8472" xr:uid="{66E92B2E-DC31-48D0-807B-8271C19D665A}"/>
    <cellStyle name="40% - Accent2 2 2 3 3" xfId="3757" xr:uid="{EB6452C6-2BE8-44EF-A179-A4EAFCFE061A}"/>
    <cellStyle name="40% - Accent2 2 2 3 3 2" xfId="3758" xr:uid="{6C981F67-E28E-4760-A998-FE6396C8890B}"/>
    <cellStyle name="40% - Accent2 2 2 3 3_Exist Trunk Assets - Ferry" xfId="8473" xr:uid="{69CA2182-EC39-4EF9-AEB7-F3731CC8F5B0}"/>
    <cellStyle name="40% - Accent2 2 2 3 4" xfId="3759" xr:uid="{26A73458-1503-499C-8ADF-0E5777910C2F}"/>
    <cellStyle name="40% - Accent2 2 2 3_Exist Trunk Assets - Ferry" xfId="8471" xr:uid="{4458E268-9E55-4432-AA53-F9C310297282}"/>
    <cellStyle name="40% - Accent2 2 2 4" xfId="3760" xr:uid="{69BDDFAB-1659-49A7-BD73-14166A743158}"/>
    <cellStyle name="40% - Accent2 2 2 5" xfId="3761" xr:uid="{18CAAD98-2B10-4D70-8448-36CB6CBDC9FE}"/>
    <cellStyle name="40% - Accent2 2 2 6" xfId="3762" xr:uid="{3584E858-A028-4B06-B3F0-BEE690DB65AA}"/>
    <cellStyle name="40% - Accent2 2 3" xfId="337" xr:uid="{5EF56B54-8324-4193-9E43-9F5CD72E8284}"/>
    <cellStyle name="40% - Accent2 2 3 2" xfId="3763" xr:uid="{5A69B98D-00DC-4FBA-A48F-B4CC6D434DAA}"/>
    <cellStyle name="40% - Accent2 2 3 2 2" xfId="3764" xr:uid="{A131DE0A-FD9C-4172-AEE2-045E64F299F3}"/>
    <cellStyle name="40% - Accent2 2 3 2_Exist Trunk Assets - Ferry" xfId="8475" xr:uid="{729846D6-DE7B-4725-B7D5-5E700640736F}"/>
    <cellStyle name="40% - Accent2 2 3 3" xfId="3765" xr:uid="{2F7DEA42-814B-46BF-ACD0-A2C6606E3111}"/>
    <cellStyle name="40% - Accent2 2 3 3 2" xfId="3766" xr:uid="{78F310CD-288A-4442-8EEB-58E691395E8B}"/>
    <cellStyle name="40% - Accent2 2 3 3_Exist Trunk Assets - Ferry" xfId="8476" xr:uid="{1618127D-D5E5-495C-8010-D0FE65ED4BDF}"/>
    <cellStyle name="40% - Accent2 2 3 4" xfId="3767" xr:uid="{8CD08D4F-A9C2-43EF-B215-ECA3EBE31172}"/>
    <cellStyle name="40% - Accent2 2 3_Exist Trunk Assets - Ferry" xfId="8474" xr:uid="{6BA6A4E0-B9CC-420A-B163-22ADEFF3138D}"/>
    <cellStyle name="40% - Accent2 2 4" xfId="3768" xr:uid="{0D421855-F100-44A7-9825-9A54DBDE3D00}"/>
    <cellStyle name="40% - Accent2 2 4 2" xfId="3769" xr:uid="{0BBCADC9-95EC-4EB3-AA57-D3C14B1B92A9}"/>
    <cellStyle name="40% - Accent2 2 4_Exist Trunk Assets - Ferry" xfId="8477" xr:uid="{E718F016-D66C-40BC-87E6-2BBE75849C7E}"/>
    <cellStyle name="40% - Accent2 2 5" xfId="3770" xr:uid="{A46A7D3C-300C-4E5E-A656-75B62968C483}"/>
    <cellStyle name="40% - Accent2 2 5 2" xfId="3771" xr:uid="{9696B40C-524A-4C6C-A951-44DC22BD6001}"/>
    <cellStyle name="40% - Accent2 2 5_Exist Trunk Assets - Ferry" xfId="8478" xr:uid="{09C97444-BA85-4C0E-BF32-29EB9DC79DB0}"/>
    <cellStyle name="40% - Accent2 2 6" xfId="3772" xr:uid="{5A4805D2-212A-460C-A2A9-5F4B5C0AA3FF}"/>
    <cellStyle name="40% - Accent2 2 7" xfId="8132" xr:uid="{50866718-2026-4091-AE01-ED0521D8825F}"/>
    <cellStyle name="40% - Accent2 2_Exist Trunk Assets - Ferry" xfId="8470" xr:uid="{7C85D634-DD22-4AF4-AC44-C1A65F559498}"/>
    <cellStyle name="40% - Accent2 20" xfId="338" xr:uid="{B06C91C2-5D9E-4790-8875-07EB9CB5977C}"/>
    <cellStyle name="40% - Accent2 20 2" xfId="3773" xr:uid="{769ED85D-2825-43E6-90C6-C3D642CCBF81}"/>
    <cellStyle name="40% - Accent2 20 3" xfId="3774" xr:uid="{39CBE4B1-8FAA-400B-A733-4B7B3703F609}"/>
    <cellStyle name="40% - Accent2 20 4" xfId="3775" xr:uid="{1C329EF1-ECD3-4F17-8A54-2D1D376E83C0}"/>
    <cellStyle name="40% - Accent2 21" xfId="339" xr:uid="{5593E4EE-3661-463F-A83B-F808715750DF}"/>
    <cellStyle name="40% - Accent2 21 2" xfId="3776" xr:uid="{676982E8-C34B-46CF-82A2-CE2947469555}"/>
    <cellStyle name="40% - Accent2 21 3" xfId="3777" xr:uid="{7B944419-88C2-4B4F-9631-821165DC7153}"/>
    <cellStyle name="40% - Accent2 21 4" xfId="3778" xr:uid="{43C60CBF-EFFC-4F91-9AC7-D356656582A3}"/>
    <cellStyle name="40% - Accent2 22" xfId="340" xr:uid="{295A4385-7A4E-4687-AB79-390699809F8D}"/>
    <cellStyle name="40% - Accent2 22 2" xfId="3779" xr:uid="{6FF05BF2-B568-45F2-84D2-DD9EB3FCEA1C}"/>
    <cellStyle name="40% - Accent2 22 3" xfId="3780" xr:uid="{AD1DE747-648C-4391-88CC-F7449A346E0B}"/>
    <cellStyle name="40% - Accent2 22 4" xfId="3781" xr:uid="{BCA5B363-E322-4C3B-B418-2D2D45AB238E}"/>
    <cellStyle name="40% - Accent2 23" xfId="341" xr:uid="{5A1FFFBE-F6D2-4B7F-B506-45BFD593F0A7}"/>
    <cellStyle name="40% - Accent2 23 2" xfId="3782" xr:uid="{44C50909-744A-4E97-880A-3E411819AAE7}"/>
    <cellStyle name="40% - Accent2 23 3" xfId="3783" xr:uid="{66A4E0B7-3591-4FFA-BC51-03B8A3028815}"/>
    <cellStyle name="40% - Accent2 23 4" xfId="3784" xr:uid="{8D463548-5153-401A-9903-7ECBF6B3EC60}"/>
    <cellStyle name="40% - Accent2 24" xfId="342" xr:uid="{15E4DE22-F549-47F0-AC6E-0A9D98BE7524}"/>
    <cellStyle name="40% - Accent2 24 2" xfId="3785" xr:uid="{7E92A3DB-E9A1-4A82-817E-26ED45437CB7}"/>
    <cellStyle name="40% - Accent2 24 3" xfId="3786" xr:uid="{630FA850-B373-41BF-926C-17126F356058}"/>
    <cellStyle name="40% - Accent2 24 4" xfId="3787" xr:uid="{50E3FCBA-1186-42F8-ADA3-55818E900B10}"/>
    <cellStyle name="40% - Accent2 25" xfId="343" xr:uid="{1C70BEED-F77B-4622-ABD0-936670151EE5}"/>
    <cellStyle name="40% - Accent2 25 2" xfId="3788" xr:uid="{1C651426-D5C5-481A-ACDB-626EB167CBFD}"/>
    <cellStyle name="40% - Accent2 25 3" xfId="3789" xr:uid="{49F63A32-3AD1-40EC-A149-CACEB1E1C464}"/>
    <cellStyle name="40% - Accent2 25 4" xfId="3790" xr:uid="{35C19AA9-4F0E-4458-9C01-1E16F55908A3}"/>
    <cellStyle name="40% - Accent2 26" xfId="344" xr:uid="{9372F8A1-2021-4A8B-8941-177DA842A1F8}"/>
    <cellStyle name="40% - Accent2 26 2" xfId="3791" xr:uid="{2B23C35D-15B2-4F6F-93A6-CEB3360C2F7C}"/>
    <cellStyle name="40% - Accent2 26 3" xfId="3792" xr:uid="{0BF5F7A4-C710-458A-9553-B3A309FD6CB2}"/>
    <cellStyle name="40% - Accent2 26 4" xfId="3793" xr:uid="{B0E17C1A-D7E4-47B4-990B-5870614F79FA}"/>
    <cellStyle name="40% - Accent2 27" xfId="345" xr:uid="{F543015E-8F8C-423C-AFBC-ABBEA572BE58}"/>
    <cellStyle name="40% - Accent2 27 2" xfId="3794" xr:uid="{FCB8DF41-AEAB-4BE7-8343-FE3DE843CCDE}"/>
    <cellStyle name="40% - Accent2 27 3" xfId="3795" xr:uid="{5DBF9BEF-0ADC-4534-88E6-CACF6D4C1581}"/>
    <cellStyle name="40% - Accent2 27 4" xfId="3796" xr:uid="{3427553C-D89E-4D46-B7D4-1DDC50AD1957}"/>
    <cellStyle name="40% - Accent2 28" xfId="346" xr:uid="{851949C3-5572-4AD4-9E9F-6CFFEA2405E4}"/>
    <cellStyle name="40% - Accent2 28 2" xfId="3797" xr:uid="{2B11EAFC-3CBE-4EFC-9F7E-B22D4F01C442}"/>
    <cellStyle name="40% - Accent2 28 3" xfId="3798" xr:uid="{F6B66AEC-FC23-4B4E-9EAB-D99F8E4BEED0}"/>
    <cellStyle name="40% - Accent2 28 4" xfId="3799" xr:uid="{5DE20FAF-09EA-4BE5-AA6C-CFCEF5D943B3}"/>
    <cellStyle name="40% - Accent2 29" xfId="347" xr:uid="{02CC8946-239C-4B2E-8ADE-E3319B17B449}"/>
    <cellStyle name="40% - Accent2 29 2" xfId="3800" xr:uid="{396C177B-2D4F-4069-A464-F40745329D02}"/>
    <cellStyle name="40% - Accent2 29 3" xfId="3801" xr:uid="{195BC56E-E950-454F-8FD0-F3B1D6E950B9}"/>
    <cellStyle name="40% - Accent2 29 4" xfId="3802" xr:uid="{8A0E3296-BED9-4088-B043-923E3478A949}"/>
    <cellStyle name="40% - Accent2 3" xfId="348" xr:uid="{2F3C84A9-9AAA-451F-994E-018C1F1DD2B5}"/>
    <cellStyle name="40% - Accent2 3 2" xfId="349" xr:uid="{3B2794A4-F608-4217-A157-A28A8709A405}"/>
    <cellStyle name="40% - Accent2 3 2 2" xfId="3803" xr:uid="{5E0DABDF-A3F2-4523-BDED-2326FE464B59}"/>
    <cellStyle name="40% - Accent2 3 2 2 2" xfId="3804" xr:uid="{FF4E1F89-5324-4973-B9C0-8A62F64C9280}"/>
    <cellStyle name="40% - Accent2 3 2 2_Exist Trunk Assets - Ferry" xfId="8481" xr:uid="{D6D2AB5F-92E9-4054-B9AB-C4C093325C1D}"/>
    <cellStyle name="40% - Accent2 3 2 3" xfId="3805" xr:uid="{41562369-06DD-4438-AF8B-843FC044E769}"/>
    <cellStyle name="40% - Accent2 3 2 3 2" xfId="3806" xr:uid="{B1F2425E-3B9F-43B0-A937-45F5414DC1B9}"/>
    <cellStyle name="40% - Accent2 3 2 3_Exist Trunk Assets - Ferry" xfId="8482" xr:uid="{416E2336-012F-4788-BBED-65395EB313E4}"/>
    <cellStyle name="40% - Accent2 3 2 4" xfId="3807" xr:uid="{EA26CD85-1964-4013-AF06-342075F201B0}"/>
    <cellStyle name="40% - Accent2 3 2_Exist Trunk Assets - Ferry" xfId="8480" xr:uid="{DC0C80FB-1614-43FC-A8A9-CBE296947D04}"/>
    <cellStyle name="40% - Accent2 3 3" xfId="1854" xr:uid="{96E5834A-0957-48B5-965E-F8B4C613FB3F}"/>
    <cellStyle name="40% - Accent2 3 3 2" xfId="3808" xr:uid="{98D53804-98F9-4DB5-9F3B-C025F18994B7}"/>
    <cellStyle name="40% - Accent2 3 3 3" xfId="3809" xr:uid="{9639199C-31ED-469C-91A8-4278A569238F}"/>
    <cellStyle name="40% - Accent2 3 3 4" xfId="3810" xr:uid="{8B998326-AF6D-464F-88F6-628E54F7843C}"/>
    <cellStyle name="40% - Accent2 3 4" xfId="3811" xr:uid="{1CD72901-B582-41A7-A015-154066826237}"/>
    <cellStyle name="40% - Accent2 3 4 2" xfId="3812" xr:uid="{B8529878-CDC8-48C6-BAF7-5E2033B92D6D}"/>
    <cellStyle name="40% - Accent2 3 4_Exist Trunk Assets - Ferry" xfId="8483" xr:uid="{5CD6EA5C-A3B2-48B7-B13F-350996C39056}"/>
    <cellStyle name="40% - Accent2 3 5" xfId="3813" xr:uid="{0566D22A-1874-4DD8-A2C7-76C2808C5ED9}"/>
    <cellStyle name="40% - Accent2 3 5 2" xfId="3814" xr:uid="{903C5270-EC42-46D3-937F-BA9D31DEDF6A}"/>
    <cellStyle name="40% - Accent2 3 5_Exist Trunk Assets - Ferry" xfId="8484" xr:uid="{DD4B66E6-9128-48D0-9323-FBA6C30CACBC}"/>
    <cellStyle name="40% - Accent2 3 6" xfId="3815" xr:uid="{4C73AB41-9B52-4053-811F-9D033CA9E991}"/>
    <cellStyle name="40% - Accent2 3_Exist Trunk Assets - Ferry" xfId="8479" xr:uid="{42189CEE-331D-4E6F-A4D9-6CCC318427F7}"/>
    <cellStyle name="40% - Accent2 30" xfId="350" xr:uid="{ACF0B9F2-2B5D-483C-BBF8-DB29BC0B3D48}"/>
    <cellStyle name="40% - Accent2 30 2" xfId="3816" xr:uid="{1D3B678F-4415-4810-9051-7685642A96DE}"/>
    <cellStyle name="40% - Accent2 30 3" xfId="3817" xr:uid="{E8D236DD-6957-47ED-B03C-79850BC37ADC}"/>
    <cellStyle name="40% - Accent2 30 4" xfId="3818" xr:uid="{17A695DC-F881-40AF-AF13-FCF813F353BA}"/>
    <cellStyle name="40% - Accent2 31" xfId="351" xr:uid="{71DA8B08-27F6-44B5-887A-7865DAD32400}"/>
    <cellStyle name="40% - Accent2 31 2" xfId="3819" xr:uid="{C6FE9047-DB83-41AF-85CB-7F030BB6D722}"/>
    <cellStyle name="40% - Accent2 31 3" xfId="3820" xr:uid="{10EBFFB8-BCA6-48B3-A667-504CE33B248B}"/>
    <cellStyle name="40% - Accent2 31 4" xfId="3821" xr:uid="{0DC1A987-7D2F-4C04-83C6-B84D0158A5C8}"/>
    <cellStyle name="40% - Accent2 32" xfId="352" xr:uid="{8C32768A-526B-47C3-8C0F-E74533496EBF}"/>
    <cellStyle name="40% - Accent2 32 2" xfId="3822" xr:uid="{D4BD3286-4CB3-4BAB-B3F9-F138DE9D09AD}"/>
    <cellStyle name="40% - Accent2 32 3" xfId="3823" xr:uid="{1BBDBA62-20CC-47BE-8020-CA8A27D1A76C}"/>
    <cellStyle name="40% - Accent2 32 4" xfId="3824" xr:uid="{ACF79ACD-1A06-4299-9298-84273B615503}"/>
    <cellStyle name="40% - Accent2 33" xfId="353" xr:uid="{D61CC2E9-DD0B-4A8C-939E-AE30873FAE39}"/>
    <cellStyle name="40% - Accent2 33 2" xfId="3825" xr:uid="{3B9CE81A-AB96-45E5-9E4C-D18B700FA7C1}"/>
    <cellStyle name="40% - Accent2 33 3" xfId="3826" xr:uid="{D16F2B8E-A6B9-458C-B53A-5A9F398541CD}"/>
    <cellStyle name="40% - Accent2 33 4" xfId="3827" xr:uid="{0028D8FE-D371-4444-8F9B-F3817AD4A8AD}"/>
    <cellStyle name="40% - Accent2 34" xfId="354" xr:uid="{D44C36B4-2F89-4E66-A154-7A72F6C77FC5}"/>
    <cellStyle name="40% - Accent2 34 2" xfId="3828" xr:uid="{C3EB3315-D5A9-44F9-B02A-59C9128722B4}"/>
    <cellStyle name="40% - Accent2 34 3" xfId="3829" xr:uid="{7D05965F-42D6-4349-818A-4D935C330545}"/>
    <cellStyle name="40% - Accent2 34 4" xfId="3830" xr:uid="{31F3AB42-FB8B-407D-9F1E-DCFC2C448CDE}"/>
    <cellStyle name="40% - Accent2 35" xfId="355" xr:uid="{8DB3CD2B-99CF-4036-B752-781E2053BDEC}"/>
    <cellStyle name="40% - Accent2 35 2" xfId="3831" xr:uid="{595ECF95-1741-4D7A-BDFC-2B1F87094EA9}"/>
    <cellStyle name="40% - Accent2 35 3" xfId="3832" xr:uid="{F949DFEE-6A09-4C61-9B81-58067866A1C5}"/>
    <cellStyle name="40% - Accent2 35 4" xfId="3833" xr:uid="{BAF284B9-9ADB-4320-8FC5-9BE94CE834D1}"/>
    <cellStyle name="40% - Accent2 36" xfId="356" xr:uid="{8073BBAB-5DB9-495B-A164-7A56C2C24B73}"/>
    <cellStyle name="40% - Accent2 36 2" xfId="3834" xr:uid="{B8171247-8ACA-4FDD-8ACC-9D6A9C51C56E}"/>
    <cellStyle name="40% - Accent2 36 3" xfId="3835" xr:uid="{86C8B3D0-0997-4F74-832C-A8F4333575E6}"/>
    <cellStyle name="40% - Accent2 36 4" xfId="3836" xr:uid="{61E0B878-01ED-4F0D-9546-6FDDF288A73A}"/>
    <cellStyle name="40% - Accent2 37" xfId="357" xr:uid="{3C272428-D555-4B45-999D-B632062D234A}"/>
    <cellStyle name="40% - Accent2 37 2" xfId="3837" xr:uid="{F9EE45E8-D216-4E7B-8744-CC739DAC36AA}"/>
    <cellStyle name="40% - Accent2 37 3" xfId="3838" xr:uid="{BC267263-F432-4891-872D-45824DBFA670}"/>
    <cellStyle name="40% - Accent2 37 4" xfId="3839" xr:uid="{36D70CFB-0B11-4E42-95B3-D02A36756B48}"/>
    <cellStyle name="40% - Accent2 38" xfId="358" xr:uid="{911FF537-2DC6-480C-826E-24F19342DD7F}"/>
    <cellStyle name="40% - Accent2 38 2" xfId="3840" xr:uid="{C1690C58-36FE-4191-9318-70DC970C07C8}"/>
    <cellStyle name="40% - Accent2 38 3" xfId="3841" xr:uid="{29461A95-C74A-4742-96FA-89DAC15BB08D}"/>
    <cellStyle name="40% - Accent2 38 4" xfId="3842" xr:uid="{78A83B1B-5A7A-4BFA-AAF3-F54355098241}"/>
    <cellStyle name="40% - Accent2 39" xfId="359" xr:uid="{E4E3C061-F05D-47EE-BE0A-79685B0CD0A6}"/>
    <cellStyle name="40% - Accent2 39 2" xfId="3843" xr:uid="{E6C893CD-120B-497B-8C04-F4ECCB22FD6D}"/>
    <cellStyle name="40% - Accent2 39 3" xfId="3844" xr:uid="{221D81F3-59F7-4FAB-A031-AFF56ADFA634}"/>
    <cellStyle name="40% - Accent2 39 4" xfId="3845" xr:uid="{2B0D28A7-3052-4CD5-80E7-CE1BA73EC644}"/>
    <cellStyle name="40% - Accent2 4" xfId="360" xr:uid="{B4E9C582-EE75-4280-A557-AC10434BE13B}"/>
    <cellStyle name="40% - Accent2 4 2" xfId="361" xr:uid="{EFB8C41F-597C-46F6-8F97-53AE95DEAD9C}"/>
    <cellStyle name="40% - Accent2 4 2 2" xfId="3846" xr:uid="{B56D14E2-C677-4E68-8BAD-C60B0F7B610A}"/>
    <cellStyle name="40% - Accent2 4 2 2 2" xfId="3847" xr:uid="{E9C9730C-E1B3-4536-B554-C6F89DA41912}"/>
    <cellStyle name="40% - Accent2 4 2 2_Exist Trunk Assets - Ferry" xfId="8487" xr:uid="{E651737E-FF80-4927-8CDD-A6C15912D7C2}"/>
    <cellStyle name="40% - Accent2 4 2 3" xfId="3848" xr:uid="{D6546B2D-80B6-485C-AFA5-DA8C3CEE1C73}"/>
    <cellStyle name="40% - Accent2 4 2 3 2" xfId="3849" xr:uid="{4EF58EB2-87B0-43D8-9FF5-CB881ADCC965}"/>
    <cellStyle name="40% - Accent2 4 2 3_Exist Trunk Assets - Ferry" xfId="8488" xr:uid="{B060C8A9-8324-4702-85F3-538C615BBE17}"/>
    <cellStyle name="40% - Accent2 4 2 4" xfId="3850" xr:uid="{710ECD78-82E1-4428-9C1B-01599ECDF348}"/>
    <cellStyle name="40% - Accent2 4 2_Exist Trunk Assets - Ferry" xfId="8486" xr:uid="{65E39A9B-CEDD-41D5-BFDE-0654D1611B13}"/>
    <cellStyle name="40% - Accent2 4 3" xfId="1855" xr:uid="{9D4EB921-E27B-4A36-A216-BD82DC6732C8}"/>
    <cellStyle name="40% - Accent2 4 3 2" xfId="3851" xr:uid="{A873A442-EBC2-44B0-AF34-6EA68EC12B66}"/>
    <cellStyle name="40% - Accent2 4 3 3" xfId="3852" xr:uid="{5C03458E-07BA-4695-BB19-B142314E4C61}"/>
    <cellStyle name="40% - Accent2 4 3 4" xfId="3853" xr:uid="{E0B9D16E-C007-4280-864C-A47A525B6332}"/>
    <cellStyle name="40% - Accent2 4 4" xfId="3854" xr:uid="{31A9771F-A2A0-4EB4-A41C-B85098BC29C7}"/>
    <cellStyle name="40% - Accent2 4 4 2" xfId="3855" xr:uid="{1833C41D-425D-4334-85AF-329916521B2B}"/>
    <cellStyle name="40% - Accent2 4 4_Exist Trunk Assets - Ferry" xfId="8489" xr:uid="{F17F4B5B-19D7-455A-B3DD-96B455794662}"/>
    <cellStyle name="40% - Accent2 4 5" xfId="3856" xr:uid="{52F0A0C2-DDE5-43D8-B76E-70D84515F9B0}"/>
    <cellStyle name="40% - Accent2 4 5 2" xfId="3857" xr:uid="{024B549E-9685-4BCD-AB45-FF2700057517}"/>
    <cellStyle name="40% - Accent2 4 5_Exist Trunk Assets - Ferry" xfId="8490" xr:uid="{E87EB006-253E-4FD7-BF58-3E0959175957}"/>
    <cellStyle name="40% - Accent2 4 6" xfId="3858" xr:uid="{4A94A698-F3A0-4808-B2FC-9F22A3CF4215}"/>
    <cellStyle name="40% - Accent2 4_Exist Trunk Assets - Ferry" xfId="8485" xr:uid="{C70EFF41-0B53-4626-836D-106E7B588B00}"/>
    <cellStyle name="40% - Accent2 40" xfId="362" xr:uid="{1E5EC095-A785-4BEE-BFE1-85A8B3F74F7C}"/>
    <cellStyle name="40% - Accent2 40 2" xfId="3859" xr:uid="{9B099B22-A44B-490F-AF35-6920E2EEFD12}"/>
    <cellStyle name="40% - Accent2 40 3" xfId="3860" xr:uid="{77E2C7CE-D023-4FB4-B9C5-E6CC422B0ADA}"/>
    <cellStyle name="40% - Accent2 40 4" xfId="3861" xr:uid="{9C4DB6B0-CACB-4AF6-B780-7A24C540252B}"/>
    <cellStyle name="40% - Accent2 5" xfId="363" xr:uid="{BB7D1EE2-3237-4C8A-8AE8-053CCD4F90CE}"/>
    <cellStyle name="40% - Accent2 5 2" xfId="1853" xr:uid="{7A7E1D81-7512-4820-A70B-7CC0242C1CDB}"/>
    <cellStyle name="40% - Accent2 5 2 2" xfId="2388" xr:uid="{AF46947A-9ACB-4CED-82EB-B4079C980D4A}"/>
    <cellStyle name="40% - Accent2 5 2 2 2" xfId="3862" xr:uid="{A10486BE-DA4F-4AA8-99AF-DEB8D6A6AB2D}"/>
    <cellStyle name="40% - Accent2 5 2 2 2 2" xfId="3863" xr:uid="{30D4FAF9-8181-4B67-8CAD-2DE550FA206A}"/>
    <cellStyle name="40% - Accent2 5 2 2 2_Exist Trunk Assets - Ferry" xfId="8493" xr:uid="{6BBA191C-9FF8-4D11-9060-361DFBA83B36}"/>
    <cellStyle name="40% - Accent2 5 2 2 3" xfId="3864" xr:uid="{12CDCF74-74F6-4FCC-A209-E75AB21042F7}"/>
    <cellStyle name="40% - Accent2 5 2 2 3 2" xfId="3865" xr:uid="{2C227251-1FB8-4461-A3D6-D918F15DA54C}"/>
    <cellStyle name="40% - Accent2 5 2 2 3_Exist Trunk Assets - Ferry" xfId="8494" xr:uid="{CC7DB1A4-6331-4884-9028-C03699D84AA3}"/>
    <cellStyle name="40% - Accent2 5 2 2 4" xfId="3866" xr:uid="{7A1CE66C-C40D-45CF-B4AD-5ED929CDF7E5}"/>
    <cellStyle name="40% - Accent2 5 2 2_Exist Trunk Assets - Ferry" xfId="8492" xr:uid="{FA1B6CCB-3748-4D16-A936-16B5D385824B}"/>
    <cellStyle name="40% - Accent2 5 2 3" xfId="3867" xr:uid="{D1A9C7C5-EC93-4993-9CC1-0774E298DA5F}"/>
    <cellStyle name="40% - Accent2 5 2 4" xfId="3868" xr:uid="{CB2EB2BD-F9B7-4B2F-9932-6F25ECA703C1}"/>
    <cellStyle name="40% - Accent2 5 2 5" xfId="3869" xr:uid="{F7AEE517-1B92-4348-A68D-19E140EC232C}"/>
    <cellStyle name="40% - Accent2 5 3" xfId="3870" xr:uid="{B62D4D28-881D-4410-9A4F-17A7F53AC1F8}"/>
    <cellStyle name="40% - Accent2 5 3 2" xfId="3871" xr:uid="{1C93495A-8EFE-4BB2-9868-DA1ACD14278C}"/>
    <cellStyle name="40% - Accent2 5 3_Exist Trunk Assets - Ferry" xfId="8495" xr:uid="{3C221B2D-76BF-4515-84A0-279673A2696A}"/>
    <cellStyle name="40% - Accent2 5 4" xfId="3872" xr:uid="{80EA5AC7-8720-4844-B2E1-58EC5FADEE20}"/>
    <cellStyle name="40% - Accent2 5 4 2" xfId="3873" xr:uid="{9479B9B4-5062-4FEC-B1DC-A6B31086EA3F}"/>
    <cellStyle name="40% - Accent2 5 4_Exist Trunk Assets - Ferry" xfId="8496" xr:uid="{45CFD6ED-941E-4F21-A367-7DEBD93458C7}"/>
    <cellStyle name="40% - Accent2 5 5" xfId="3874" xr:uid="{80A1FFF4-55BA-400A-9B25-29B87ADE11E1}"/>
    <cellStyle name="40% - Accent2 5_Exist Trunk Assets - Ferry" xfId="8491" xr:uid="{68789B89-04C5-438D-A69C-71EAD4F0909C}"/>
    <cellStyle name="40% - Accent2 6" xfId="364" xr:uid="{B4ACDA58-4DBC-4518-BED2-99C7E021FA25}"/>
    <cellStyle name="40% - Accent2 6 2" xfId="3875" xr:uid="{C08B7132-D5F0-4BC5-B3D6-46946303FFAE}"/>
    <cellStyle name="40% - Accent2 6 3" xfId="3876" xr:uid="{BF55B2AA-05E6-4606-B494-B44D3F2D1A80}"/>
    <cellStyle name="40% - Accent2 6 4" xfId="3877" xr:uid="{7D920C25-3128-4454-B9DC-21D9DA968D6C}"/>
    <cellStyle name="40% - Accent2 7" xfId="365" xr:uid="{7D4C02C7-886E-4209-9204-461D249093C8}"/>
    <cellStyle name="40% - Accent2 7 2" xfId="3878" xr:uid="{22FB9C6A-EC9A-497E-9F0D-86D183AB4858}"/>
    <cellStyle name="40% - Accent2 7 3" xfId="3879" xr:uid="{95048B97-6395-4499-8C9C-623A062C52FE}"/>
    <cellStyle name="40% - Accent2 7 4" xfId="3880" xr:uid="{A572BDD8-C01B-4D7D-AEF4-9EEECE83B050}"/>
    <cellStyle name="40% - Accent2 8" xfId="366" xr:uid="{2B718FEF-9747-4E99-ABC3-386EBA32BDFB}"/>
    <cellStyle name="40% - Accent2 8 2" xfId="3881" xr:uid="{F44F9DC7-318B-4792-96F2-5D8607A8EFA8}"/>
    <cellStyle name="40% - Accent2 8 3" xfId="3882" xr:uid="{5C36F319-D224-47DA-8E1E-49BAFE5BB748}"/>
    <cellStyle name="40% - Accent2 8 4" xfId="3883" xr:uid="{4F4A4C93-6771-44ED-BB2D-FDD281D89E19}"/>
    <cellStyle name="40% - Accent2 9" xfId="367" xr:uid="{E2BF33DC-6F89-470B-9CBF-7702901F0180}"/>
    <cellStyle name="40% - Accent2 9 2" xfId="3884" xr:uid="{B57945BB-C97F-4FC1-9B9A-BBE0E97BAE55}"/>
    <cellStyle name="40% - Accent2 9 3" xfId="3885" xr:uid="{76489586-9513-4A20-85A1-A3C1F6E9C318}"/>
    <cellStyle name="40% - Accent2 9 4" xfId="3886" xr:uid="{DB161A12-0F2E-42CF-8307-C463C957C97B}"/>
    <cellStyle name="40% - Accent3 10" xfId="368" xr:uid="{410CA1E9-FDB8-44D4-8F6E-F45871DF4CD0}"/>
    <cellStyle name="40% - Accent3 10 2" xfId="3887" xr:uid="{1812A501-69C9-4B32-B7DC-8D1A362595BB}"/>
    <cellStyle name="40% - Accent3 10 3" xfId="3888" xr:uid="{1F54B548-4868-4720-AEEB-98E3F8435526}"/>
    <cellStyle name="40% - Accent3 10 4" xfId="3889" xr:uid="{A656B005-E9BF-4096-9447-15088543E8A0}"/>
    <cellStyle name="40% - Accent3 11" xfId="369" xr:uid="{B511E1B5-D475-4AE1-B5E5-1971518B224A}"/>
    <cellStyle name="40% - Accent3 11 2" xfId="3890" xr:uid="{C07B59C2-6B2A-4298-9796-6EA310A0E947}"/>
    <cellStyle name="40% - Accent3 11 3" xfId="3891" xr:uid="{29B1468A-2A3E-4E08-9896-7466B531EFA6}"/>
    <cellStyle name="40% - Accent3 11 4" xfId="3892" xr:uid="{4FE9FB04-EEDB-4CB4-B995-A14E51BA87A5}"/>
    <cellStyle name="40% - Accent3 12" xfId="370" xr:uid="{23C9BCDC-94B5-4225-8611-D8A27A9A29CE}"/>
    <cellStyle name="40% - Accent3 12 2" xfId="3893" xr:uid="{6147342D-5468-43BB-A1F1-43257D4FA635}"/>
    <cellStyle name="40% - Accent3 12 3" xfId="3894" xr:uid="{ABCD23BE-A3E7-40D1-8F2B-EB572E9695C5}"/>
    <cellStyle name="40% - Accent3 12 4" xfId="3895" xr:uid="{1CEB9B16-38B3-47DF-A06E-F207D1FD299A}"/>
    <cellStyle name="40% - Accent3 13" xfId="371" xr:uid="{BE5628F0-0AE6-4C8C-A1A7-3E1EF8BAAD87}"/>
    <cellStyle name="40% - Accent3 13 2" xfId="3896" xr:uid="{83D7A45E-DD4B-4021-BB94-9DF174E2543C}"/>
    <cellStyle name="40% - Accent3 13 3" xfId="3897" xr:uid="{9A963E03-2ECE-4DBE-A725-14C9B82223D9}"/>
    <cellStyle name="40% - Accent3 13 4" xfId="3898" xr:uid="{79372CF7-CE3B-459F-9E7C-0954602615AA}"/>
    <cellStyle name="40% - Accent3 14" xfId="372" xr:uid="{CF2A3BD7-451D-4775-9F81-C5D3D6D0F7BE}"/>
    <cellStyle name="40% - Accent3 14 2" xfId="3899" xr:uid="{BB5009EA-B030-4C98-9CA3-51BA04908023}"/>
    <cellStyle name="40% - Accent3 14 3" xfId="3900" xr:uid="{C7441117-0A84-4ADA-91CD-BF0D41F535A9}"/>
    <cellStyle name="40% - Accent3 14 4" xfId="3901" xr:uid="{FD736049-7A07-4AB4-AC65-7219CE9EBB8C}"/>
    <cellStyle name="40% - Accent3 15" xfId="373" xr:uid="{82ED55B4-5EFC-46DC-83D8-78FAAA104D20}"/>
    <cellStyle name="40% - Accent3 15 2" xfId="3902" xr:uid="{2D98B37F-7D8A-4A3D-8EE3-B46F532319F1}"/>
    <cellStyle name="40% - Accent3 15 3" xfId="3903" xr:uid="{CB929C9C-8699-4717-9B40-539A96730BC4}"/>
    <cellStyle name="40% - Accent3 15 4" xfId="3904" xr:uid="{5B7492D0-5B8E-4ABE-A782-8F6275372524}"/>
    <cellStyle name="40% - Accent3 16" xfId="374" xr:uid="{58309364-2788-48AA-91C0-171B2FE283EA}"/>
    <cellStyle name="40% - Accent3 16 2" xfId="3905" xr:uid="{A4802FE0-0F29-49A2-8DB0-0FB0953788F7}"/>
    <cellStyle name="40% - Accent3 16 3" xfId="3906" xr:uid="{61676F09-FC97-40CE-BAC9-A6A9AC791026}"/>
    <cellStyle name="40% - Accent3 16 4" xfId="3907" xr:uid="{6C838421-8F9A-4D2F-921A-9707A5AD2FA1}"/>
    <cellStyle name="40% - Accent3 17" xfId="375" xr:uid="{C989C1AF-9830-4215-ADF8-ACCD34120BDC}"/>
    <cellStyle name="40% - Accent3 17 2" xfId="3908" xr:uid="{5FB26FDB-297A-4BDF-B943-46743BF5FB09}"/>
    <cellStyle name="40% - Accent3 17 3" xfId="3909" xr:uid="{5C0B3D40-E6BF-49B3-9E28-CF1579A10B11}"/>
    <cellStyle name="40% - Accent3 17 4" xfId="3910" xr:uid="{54D811FC-2944-4F8A-BD68-8FA70F81607B}"/>
    <cellStyle name="40% - Accent3 18" xfId="376" xr:uid="{123DEFCD-B8A6-43F9-9936-658F2EFA5471}"/>
    <cellStyle name="40% - Accent3 18 2" xfId="3911" xr:uid="{41E1C379-F6C5-46DF-B6A9-61026AC5896D}"/>
    <cellStyle name="40% - Accent3 18 3" xfId="3912" xr:uid="{77197977-C3E8-4762-B882-101FD3BA91B3}"/>
    <cellStyle name="40% - Accent3 18 4" xfId="3913" xr:uid="{E9BBDA39-3CE8-4E36-930B-CDB2B3A34221}"/>
    <cellStyle name="40% - Accent3 19" xfId="377" xr:uid="{0A63D26D-B28B-446D-96A7-429D85FC5F00}"/>
    <cellStyle name="40% - Accent3 19 2" xfId="3914" xr:uid="{D73E90EB-6082-4203-A1BF-AF57B2ACEEE8}"/>
    <cellStyle name="40% - Accent3 19 3" xfId="3915" xr:uid="{4222944E-DC89-4337-9F45-6DE9B4EC2970}"/>
    <cellStyle name="40% - Accent3 19 4" xfId="3916" xr:uid="{D8D5362E-A8B9-4915-B592-078B056215E1}"/>
    <cellStyle name="40% - Accent3 2" xfId="378" xr:uid="{963B85A7-A0CC-4FF1-AA36-841461787C3E}"/>
    <cellStyle name="40% - Accent3 2 2" xfId="379" xr:uid="{AC676A94-E9FE-4717-82C6-7A853800C968}"/>
    <cellStyle name="40% - Accent3 2 2 2" xfId="2390" xr:uid="{97010F10-B1F5-4546-888D-E44396AC6613}"/>
    <cellStyle name="40% - Accent3 2 2 2 2" xfId="3917" xr:uid="{9817DA81-CEFE-44AF-BCCC-E2CD8FF65E0E}"/>
    <cellStyle name="40% - Accent3 2 2 2 3" xfId="3918" xr:uid="{6A428208-9A4B-4B9C-AD9E-CFA8CAFD5413}"/>
    <cellStyle name="40% - Accent3 2 2 2 4" xfId="3919" xr:uid="{A747D060-B352-4886-AD9F-5054420FD4A8}"/>
    <cellStyle name="40% - Accent3 2 2 3" xfId="2389" xr:uid="{029E4242-51F0-4EDE-AD17-7DD4C3D78A87}"/>
    <cellStyle name="40% - Accent3 2 2 3 2" xfId="3920" xr:uid="{5EAA982A-E1AD-496E-AF85-568790472865}"/>
    <cellStyle name="40% - Accent3 2 2 3 2 2" xfId="3921" xr:uid="{4487A58E-0BE3-4F80-BBA0-69DB0CE6DE80}"/>
    <cellStyle name="40% - Accent3 2 2 3 2_Exist Trunk Assets - Ferry" xfId="8499" xr:uid="{DD6CFB6A-B4E6-48EA-9526-798AC206B615}"/>
    <cellStyle name="40% - Accent3 2 2 3 3" xfId="3922" xr:uid="{1CF50607-C7B1-49ED-99E4-D01E2FD2A2F9}"/>
    <cellStyle name="40% - Accent3 2 2 3 3 2" xfId="3923" xr:uid="{5EF84DAB-C60C-4DA4-8D4F-1FB734EFD6FB}"/>
    <cellStyle name="40% - Accent3 2 2 3 3_Exist Trunk Assets - Ferry" xfId="8500" xr:uid="{A21B9500-C126-4120-8DFD-6FC513829181}"/>
    <cellStyle name="40% - Accent3 2 2 3 4" xfId="3924" xr:uid="{2F696C23-72CF-4ED7-B93D-C6AD0440368C}"/>
    <cellStyle name="40% - Accent3 2 2 3_Exist Trunk Assets - Ferry" xfId="8498" xr:uid="{A53DFC43-A779-4968-94BB-F9AECAC74233}"/>
    <cellStyle name="40% - Accent3 2 2 4" xfId="3925" xr:uid="{C52F5D96-7D3D-4771-9D83-D6F5F0CB097E}"/>
    <cellStyle name="40% - Accent3 2 2 5" xfId="3926" xr:uid="{A93524C9-4C1F-4BAE-9F28-A4D2B1558AF5}"/>
    <cellStyle name="40% - Accent3 2 2 6" xfId="3927" xr:uid="{43194686-55F0-4C2E-BB9D-514DA17CB3A5}"/>
    <cellStyle name="40% - Accent3 2 3" xfId="380" xr:uid="{A0A39A83-0B4B-4209-9AC4-B23309E2CB92}"/>
    <cellStyle name="40% - Accent3 2 3 2" xfId="3928" xr:uid="{4D6DC177-0A5D-4257-BA3A-9D37DFCFAED2}"/>
    <cellStyle name="40% - Accent3 2 3 2 2" xfId="3929" xr:uid="{F65E6645-EB9C-43E1-930F-AAA5924885AC}"/>
    <cellStyle name="40% - Accent3 2 3 2_Exist Trunk Assets - Ferry" xfId="8502" xr:uid="{72976473-1BEA-4858-8907-7F1EEDFB627C}"/>
    <cellStyle name="40% - Accent3 2 3 3" xfId="3930" xr:uid="{4063A147-B9DF-4759-BA09-7C5EADABB47A}"/>
    <cellStyle name="40% - Accent3 2 3 3 2" xfId="3931" xr:uid="{46DC7B06-677D-4FB1-A67D-5759B86ACFD2}"/>
    <cellStyle name="40% - Accent3 2 3 3_Exist Trunk Assets - Ferry" xfId="8503" xr:uid="{CBA07127-B9CE-4AA2-B58F-38FD6FC5B164}"/>
    <cellStyle name="40% - Accent3 2 3 4" xfId="3932" xr:uid="{3193D8CE-AE7D-4799-9191-0FAB69310AB1}"/>
    <cellStyle name="40% - Accent3 2 3_Exist Trunk Assets - Ferry" xfId="8501" xr:uid="{FDCD65E6-9906-49E5-A1AE-5D1952133A3A}"/>
    <cellStyle name="40% - Accent3 2 4" xfId="3933" xr:uid="{4627A49D-E43B-4CDB-B072-21E8106E6501}"/>
    <cellStyle name="40% - Accent3 2 4 2" xfId="3934" xr:uid="{6262E687-D396-4A87-8DE3-E16F6F0C0733}"/>
    <cellStyle name="40% - Accent3 2 4_Exist Trunk Assets - Ferry" xfId="8504" xr:uid="{941C4AA2-BD8B-4990-87C4-F2A527D86B7A}"/>
    <cellStyle name="40% - Accent3 2 5" xfId="3935" xr:uid="{697B14FA-D5D5-4DB6-B18F-C41CE5B6DE0C}"/>
    <cellStyle name="40% - Accent3 2 5 2" xfId="3936" xr:uid="{4888A8EC-DB78-4054-8A1F-7FA165BF0408}"/>
    <cellStyle name="40% - Accent3 2 5_Exist Trunk Assets - Ferry" xfId="8505" xr:uid="{1E12F0BC-CFC4-42D0-9B41-08554572B128}"/>
    <cellStyle name="40% - Accent3 2 6" xfId="3937" xr:uid="{D8345F77-3598-4A3D-8219-8376C42D1F19}"/>
    <cellStyle name="40% - Accent3 2 7" xfId="8133" xr:uid="{62048756-7A76-4103-B8AB-2574C5844F24}"/>
    <cellStyle name="40% - Accent3 2_Exist Trunk Assets - Ferry" xfId="8497" xr:uid="{AE583F68-673C-4D19-B797-04F80D878F37}"/>
    <cellStyle name="40% - Accent3 20" xfId="381" xr:uid="{90454798-EF39-4090-92DB-F98CE3AB3ADF}"/>
    <cellStyle name="40% - Accent3 20 2" xfId="3938" xr:uid="{BAE138ED-BE51-4AFF-8BE8-28E15E9CCCE7}"/>
    <cellStyle name="40% - Accent3 20 3" xfId="3939" xr:uid="{B5A60588-5D1C-41D4-B1FA-7EC532A69A18}"/>
    <cellStyle name="40% - Accent3 20 4" xfId="3940" xr:uid="{77ED0DFA-F055-4FA3-9E9C-47DF2750A9B4}"/>
    <cellStyle name="40% - Accent3 21" xfId="382" xr:uid="{52DA6D31-1113-41D8-9AD7-F0CB27E7460D}"/>
    <cellStyle name="40% - Accent3 21 2" xfId="3941" xr:uid="{365B923E-E16F-4F97-B764-D4B3D4D984FD}"/>
    <cellStyle name="40% - Accent3 21 3" xfId="3942" xr:uid="{DCF1139D-7B9F-46E1-B8E5-F5C4D63717CE}"/>
    <cellStyle name="40% - Accent3 21 4" xfId="3943" xr:uid="{E4CAB64F-9DE6-40C7-AA03-B4FA2E2C65E7}"/>
    <cellStyle name="40% - Accent3 22" xfId="383" xr:uid="{7C305D1B-016D-4B8F-B612-94E22518AB55}"/>
    <cellStyle name="40% - Accent3 22 2" xfId="3944" xr:uid="{E982A700-21FD-468F-9BEF-7CB6D9397B8B}"/>
    <cellStyle name="40% - Accent3 22 3" xfId="3945" xr:uid="{5A2A8871-0745-4DCE-8517-9C6DBAA44592}"/>
    <cellStyle name="40% - Accent3 22 4" xfId="3946" xr:uid="{0AC1F058-84E0-4040-A09F-2BED36AED548}"/>
    <cellStyle name="40% - Accent3 23" xfId="384" xr:uid="{FF79FBF0-FB64-438B-A327-BC40DEFACC7A}"/>
    <cellStyle name="40% - Accent3 23 2" xfId="3947" xr:uid="{6F9961F7-43C4-4B7E-9056-4DE167B92B0B}"/>
    <cellStyle name="40% - Accent3 23 3" xfId="3948" xr:uid="{F951DE1C-8A00-4BE2-8A21-9135DD97C6CE}"/>
    <cellStyle name="40% - Accent3 23 4" xfId="3949" xr:uid="{3DBE9708-B1B5-4EB3-8BD8-0D1750A3DF68}"/>
    <cellStyle name="40% - Accent3 24" xfId="385" xr:uid="{22D4CBAF-8CC6-4C7F-BE07-2EFB3D462114}"/>
    <cellStyle name="40% - Accent3 24 2" xfId="3950" xr:uid="{B845A91E-10F2-475C-8D70-06DA47B1FF14}"/>
    <cellStyle name="40% - Accent3 24 3" xfId="3951" xr:uid="{AC69E96E-05B5-4B8F-B80B-F1FD9B43FC4B}"/>
    <cellStyle name="40% - Accent3 24 4" xfId="3952" xr:uid="{DFA4C9C5-0581-4129-A2B8-AAACB37588F6}"/>
    <cellStyle name="40% - Accent3 25" xfId="386" xr:uid="{531DF48A-CF39-4887-BAA1-4D39D69A713E}"/>
    <cellStyle name="40% - Accent3 25 2" xfId="3953" xr:uid="{FD092D4A-660E-4810-B2E7-F3F2362B0570}"/>
    <cellStyle name="40% - Accent3 25 3" xfId="3954" xr:uid="{894D7962-99D2-46F9-BBF2-8516F139ABF2}"/>
    <cellStyle name="40% - Accent3 25 4" xfId="3955" xr:uid="{8F716C6A-48D3-40B1-9594-B782E55F4229}"/>
    <cellStyle name="40% - Accent3 26" xfId="387" xr:uid="{13BDBC57-810B-477D-9764-E801CFC5E35C}"/>
    <cellStyle name="40% - Accent3 26 2" xfId="3956" xr:uid="{1DC3BD3C-5343-425C-8AC2-F0FF429E831B}"/>
    <cellStyle name="40% - Accent3 26 3" xfId="3957" xr:uid="{15B89639-8FB1-48CB-BDFE-1519251ACF15}"/>
    <cellStyle name="40% - Accent3 26 4" xfId="3958" xr:uid="{4FB2B713-65EF-4679-916C-A294ABC6B4F1}"/>
    <cellStyle name="40% - Accent3 27" xfId="388" xr:uid="{EF64271B-3CA3-4A54-AE12-279C52E2E11B}"/>
    <cellStyle name="40% - Accent3 27 2" xfId="3959" xr:uid="{D83B4A8D-3851-4291-842E-A288E062AFB6}"/>
    <cellStyle name="40% - Accent3 27 3" xfId="3960" xr:uid="{A22919C8-B752-40E6-9D6C-E258B541D6B6}"/>
    <cellStyle name="40% - Accent3 27 4" xfId="3961" xr:uid="{66B7FBF6-8227-4E6C-9BF8-EA57FE6EB9F2}"/>
    <cellStyle name="40% - Accent3 28" xfId="389" xr:uid="{DADA888F-0B83-4257-906D-D743B226A6C7}"/>
    <cellStyle name="40% - Accent3 28 2" xfId="3962" xr:uid="{BB4D05C9-9B6D-4A6A-B869-38818CC1B753}"/>
    <cellStyle name="40% - Accent3 28 3" xfId="3963" xr:uid="{1A06EC0F-6EB9-480D-9D36-A6694946CD18}"/>
    <cellStyle name="40% - Accent3 28 4" xfId="3964" xr:uid="{8BC81EFE-C6F3-49C3-B0A8-3F18E18324D9}"/>
    <cellStyle name="40% - Accent3 29" xfId="390" xr:uid="{55870371-6B47-4E89-A518-7A2A80DEC57F}"/>
    <cellStyle name="40% - Accent3 29 2" xfId="3965" xr:uid="{825D6CB3-5A41-4534-A5B7-3F2FB4632C44}"/>
    <cellStyle name="40% - Accent3 29 3" xfId="3966" xr:uid="{B9A58765-316D-41B6-80AD-3C69C8331CB4}"/>
    <cellStyle name="40% - Accent3 29 4" xfId="3967" xr:uid="{6EF1FB35-1033-4C35-ACAE-47AEB8BFA6EF}"/>
    <cellStyle name="40% - Accent3 3" xfId="391" xr:uid="{9B815274-4256-450C-8571-9E42C29E2E97}"/>
    <cellStyle name="40% - Accent3 3 2" xfId="392" xr:uid="{FA6B11E7-5473-43C7-A9BF-7EFA60796B08}"/>
    <cellStyle name="40% - Accent3 3 2 2" xfId="3968" xr:uid="{D7491961-20F6-4B52-AFAB-70260146F4A4}"/>
    <cellStyle name="40% - Accent3 3 2 2 2" xfId="3969" xr:uid="{C94F126F-DDCB-4691-862B-E2F268D143DF}"/>
    <cellStyle name="40% - Accent3 3 2 2_Exist Trunk Assets - Ferry" xfId="8508" xr:uid="{C6F21C19-08BB-4657-A4CA-238E0E744DB5}"/>
    <cellStyle name="40% - Accent3 3 2 3" xfId="3970" xr:uid="{646220A2-6107-474C-A18F-F5CBC503BC50}"/>
    <cellStyle name="40% - Accent3 3 2 3 2" xfId="3971" xr:uid="{AE9DAF49-0E77-4BE0-95BA-339581DC58B9}"/>
    <cellStyle name="40% - Accent3 3 2 3_Exist Trunk Assets - Ferry" xfId="8509" xr:uid="{B52E47FA-EF91-449C-AD67-015FFBFAF8B1}"/>
    <cellStyle name="40% - Accent3 3 2 4" xfId="3972" xr:uid="{57DAC871-1017-4EC5-91AF-D10A4DA2DEEF}"/>
    <cellStyle name="40% - Accent3 3 2_Exist Trunk Assets - Ferry" xfId="8507" xr:uid="{CB6F6BA6-8283-4920-A1DB-B56137B96B59}"/>
    <cellStyle name="40% - Accent3 3 3" xfId="1857" xr:uid="{BA29D6EF-A3D5-4C96-8869-FEDE373015CB}"/>
    <cellStyle name="40% - Accent3 3 3 2" xfId="3973" xr:uid="{78ECD441-52E0-489C-990B-72A7190868D2}"/>
    <cellStyle name="40% - Accent3 3 3 3" xfId="3974" xr:uid="{A32CAF77-88A0-4156-AF0D-651BE1C3DA41}"/>
    <cellStyle name="40% - Accent3 3 3 4" xfId="3975" xr:uid="{E4DC84CE-41ED-471E-AD95-2B32D6985353}"/>
    <cellStyle name="40% - Accent3 3 4" xfId="3976" xr:uid="{78411B44-C962-432F-9186-B910CB42ACD8}"/>
    <cellStyle name="40% - Accent3 3 4 2" xfId="3977" xr:uid="{6AD14DA4-2A08-41CC-89BB-D10014BD5A5E}"/>
    <cellStyle name="40% - Accent3 3 4_Exist Trunk Assets - Ferry" xfId="8510" xr:uid="{4113C69B-D4B4-4919-9B40-3AC11FA15D37}"/>
    <cellStyle name="40% - Accent3 3 5" xfId="3978" xr:uid="{F8852F08-E352-45D4-897B-61F1A5DB2029}"/>
    <cellStyle name="40% - Accent3 3 5 2" xfId="3979" xr:uid="{5E7E5AB1-89D5-4FBA-B4D9-E42548C1705D}"/>
    <cellStyle name="40% - Accent3 3 5_Exist Trunk Assets - Ferry" xfId="8511" xr:uid="{655E8D7D-8FCF-4796-B79E-CFD1B72DC3BF}"/>
    <cellStyle name="40% - Accent3 3 6" xfId="3980" xr:uid="{0BA50958-483B-48D8-9BAF-C9FFF14B1B00}"/>
    <cellStyle name="40% - Accent3 3_Exist Trunk Assets - Ferry" xfId="8506" xr:uid="{C881AB75-A198-4C9C-8F46-C64EEA3A1623}"/>
    <cellStyle name="40% - Accent3 30" xfId="393" xr:uid="{6B923B01-5170-436E-8402-72AF0B50A031}"/>
    <cellStyle name="40% - Accent3 30 2" xfId="3981" xr:uid="{9AFF2876-8796-4513-9E9D-7844551411A5}"/>
    <cellStyle name="40% - Accent3 30 3" xfId="3982" xr:uid="{6BBDFE43-293E-407D-B5DE-E31918AC8241}"/>
    <cellStyle name="40% - Accent3 30 4" xfId="3983" xr:uid="{9ED21CA9-355A-46E7-832C-1AF1720DC8ED}"/>
    <cellStyle name="40% - Accent3 31" xfId="394" xr:uid="{BE28BC8A-CBEA-4A64-9005-9B338698FAF3}"/>
    <cellStyle name="40% - Accent3 31 2" xfId="3984" xr:uid="{FD29FF9C-E7DC-4125-A1C7-CE74B926A4B8}"/>
    <cellStyle name="40% - Accent3 31 3" xfId="3985" xr:uid="{E7F8FD7F-CA52-4EEE-8ABA-8D457257DA28}"/>
    <cellStyle name="40% - Accent3 31 4" xfId="3986" xr:uid="{DDC236F3-ADD4-4BFD-898A-50B700AA4602}"/>
    <cellStyle name="40% - Accent3 32" xfId="395" xr:uid="{80387F09-8CC3-47F4-9622-F3BA44B3C79F}"/>
    <cellStyle name="40% - Accent3 32 2" xfId="3987" xr:uid="{FA1FF77D-259E-4B9D-81BA-9BA0F00AEEC9}"/>
    <cellStyle name="40% - Accent3 32 3" xfId="3988" xr:uid="{B12E6A54-CA09-46FC-85DB-21F2B9B232FF}"/>
    <cellStyle name="40% - Accent3 32 4" xfId="3989" xr:uid="{52AD6562-9C5D-4E8D-B82A-F0973923E354}"/>
    <cellStyle name="40% - Accent3 33" xfId="396" xr:uid="{857E4116-0C0D-41D8-B802-22573C14BDEC}"/>
    <cellStyle name="40% - Accent3 33 2" xfId="3990" xr:uid="{95017065-07A4-4DBD-861D-9E7FF452C390}"/>
    <cellStyle name="40% - Accent3 33 3" xfId="3991" xr:uid="{2617DBF3-783F-4C26-BE7A-B6C3BAAE98BE}"/>
    <cellStyle name="40% - Accent3 33 4" xfId="3992" xr:uid="{EF219AB1-9975-4D8B-A5B0-ADE491B40F27}"/>
    <cellStyle name="40% - Accent3 34" xfId="397" xr:uid="{10763EF4-4246-4F22-A639-7A3365A05D2E}"/>
    <cellStyle name="40% - Accent3 34 2" xfId="3993" xr:uid="{3E1B452D-7C75-4951-BACE-91A0F9960FA2}"/>
    <cellStyle name="40% - Accent3 34 3" xfId="3994" xr:uid="{9483D270-5789-4481-8C85-6649CF1692CF}"/>
    <cellStyle name="40% - Accent3 34 4" xfId="3995" xr:uid="{D9340EB0-66DE-43F0-A630-6799CE8EEA5F}"/>
    <cellStyle name="40% - Accent3 35" xfId="398" xr:uid="{50E8F873-F0BC-43C5-B9B6-C29B58C75911}"/>
    <cellStyle name="40% - Accent3 35 2" xfId="3996" xr:uid="{8FC4C153-07A5-49B4-8818-DB3C30286619}"/>
    <cellStyle name="40% - Accent3 35 3" xfId="3997" xr:uid="{FF6BC88D-6A4E-454F-B3A6-C3CF3277D474}"/>
    <cellStyle name="40% - Accent3 35 4" xfId="3998" xr:uid="{404BA3BD-A1C9-4EE9-8109-900AE4AC4E3F}"/>
    <cellStyle name="40% - Accent3 36" xfId="399" xr:uid="{0627DFF7-F3E7-4891-AF7C-E00232159C34}"/>
    <cellStyle name="40% - Accent3 36 2" xfId="3999" xr:uid="{AD580856-60A1-4A57-9DCC-3F7CD24E928C}"/>
    <cellStyle name="40% - Accent3 36 3" xfId="4000" xr:uid="{B2C8660F-DB0F-49CF-87EA-07C3307A7E6C}"/>
    <cellStyle name="40% - Accent3 36 4" xfId="4001" xr:uid="{39E82AFF-B723-477B-B7B7-D77F0A659462}"/>
    <cellStyle name="40% - Accent3 37" xfId="400" xr:uid="{D64DD538-3DC2-4CAE-8FD1-FDD8EE036E42}"/>
    <cellStyle name="40% - Accent3 37 2" xfId="4002" xr:uid="{72D52144-A8EB-4542-BAAE-057853A26A83}"/>
    <cellStyle name="40% - Accent3 37 3" xfId="4003" xr:uid="{C0978613-0FB3-4983-83C5-6DD9DE5566AE}"/>
    <cellStyle name="40% - Accent3 37 4" xfId="4004" xr:uid="{DF87B7E4-390A-4E19-B5DF-0CA6BA59A298}"/>
    <cellStyle name="40% - Accent3 38" xfId="401" xr:uid="{C3502996-0CA9-4E96-94C3-62130CD49218}"/>
    <cellStyle name="40% - Accent3 38 2" xfId="4005" xr:uid="{6A665E0D-E629-4339-8660-48E3FE268899}"/>
    <cellStyle name="40% - Accent3 38 3" xfId="4006" xr:uid="{FD5F8875-C44D-4366-BA08-8E1A259E50BC}"/>
    <cellStyle name="40% - Accent3 38 4" xfId="4007" xr:uid="{8DB5C929-4646-4E8F-ABFA-EF5970D73B42}"/>
    <cellStyle name="40% - Accent3 39" xfId="402" xr:uid="{2DE66751-CCD1-411D-8EAA-A3B5F7577A7A}"/>
    <cellStyle name="40% - Accent3 39 2" xfId="4008" xr:uid="{AE104D70-8B82-47DC-B6AB-17FEE887DECD}"/>
    <cellStyle name="40% - Accent3 39 3" xfId="4009" xr:uid="{4270280E-41F4-4B32-9DAC-0C5916FEDD6E}"/>
    <cellStyle name="40% - Accent3 39 4" xfId="4010" xr:uid="{3ED0FC7B-F942-42DA-8B51-8EE49C2198CE}"/>
    <cellStyle name="40% - Accent3 4" xfId="403" xr:uid="{D91F8BCC-F010-4543-B14D-63A20AB70409}"/>
    <cellStyle name="40% - Accent3 4 2" xfId="404" xr:uid="{2746833E-55F7-4B85-A7CD-9467E39E4E32}"/>
    <cellStyle name="40% - Accent3 4 2 2" xfId="4011" xr:uid="{893F3B03-013C-4F55-8498-E9272D30E709}"/>
    <cellStyle name="40% - Accent3 4 2 2 2" xfId="4012" xr:uid="{68F2E5B6-F8FF-4AE6-BF57-AF9A691ADCFC}"/>
    <cellStyle name="40% - Accent3 4 2 2_Exist Trunk Assets - Ferry" xfId="8514" xr:uid="{21C5EEBD-D53F-41FC-97C1-A1B611DABE2B}"/>
    <cellStyle name="40% - Accent3 4 2 3" xfId="4013" xr:uid="{95B1716B-0F26-4546-A364-F2783AAA744D}"/>
    <cellStyle name="40% - Accent3 4 2 3 2" xfId="4014" xr:uid="{234D9706-4686-45E5-A627-B62C13CE789F}"/>
    <cellStyle name="40% - Accent3 4 2 3_Exist Trunk Assets - Ferry" xfId="8515" xr:uid="{DA272F00-2C10-4260-809D-B98004A845D5}"/>
    <cellStyle name="40% - Accent3 4 2 4" xfId="4015" xr:uid="{4A6F8BF0-4FB6-49B0-BB54-D6B772F7DBE9}"/>
    <cellStyle name="40% - Accent3 4 2_Exist Trunk Assets - Ferry" xfId="8513" xr:uid="{0776D080-BBF3-4EA7-B1EF-627EC745A944}"/>
    <cellStyle name="40% - Accent3 4 3" xfId="1858" xr:uid="{BE0845DA-ED7B-4277-A8A9-E7387CB89613}"/>
    <cellStyle name="40% - Accent3 4 3 2" xfId="4016" xr:uid="{2FC6C0EE-8CEE-42EA-B1D2-EB6064A43BB7}"/>
    <cellStyle name="40% - Accent3 4 3 3" xfId="4017" xr:uid="{D7614042-FAFD-4451-A383-CF93DD1350E3}"/>
    <cellStyle name="40% - Accent3 4 3 4" xfId="4018" xr:uid="{06D25D45-2540-45FC-8559-5E055D61BA8F}"/>
    <cellStyle name="40% - Accent3 4 4" xfId="4019" xr:uid="{BC1C9259-9790-47AE-93EA-A4ED8B2027E7}"/>
    <cellStyle name="40% - Accent3 4 4 2" xfId="4020" xr:uid="{F8EDAD8D-EC16-41C6-AE04-2B0605A1FFBD}"/>
    <cellStyle name="40% - Accent3 4 4_Exist Trunk Assets - Ferry" xfId="8516" xr:uid="{D0D28E3B-9974-445D-841F-4394B8EB33E3}"/>
    <cellStyle name="40% - Accent3 4 5" xfId="4021" xr:uid="{A56BA869-4631-44FF-B5AA-BAA3C692EB8B}"/>
    <cellStyle name="40% - Accent3 4 5 2" xfId="4022" xr:uid="{7E782726-1799-46F6-8910-87A05E727005}"/>
    <cellStyle name="40% - Accent3 4 5_Exist Trunk Assets - Ferry" xfId="8517" xr:uid="{6F46DEAF-50D6-4996-AFE5-51E3A07AE667}"/>
    <cellStyle name="40% - Accent3 4 6" xfId="4023" xr:uid="{A9367E57-6AA8-4A24-9EF4-F9BF4D354CDB}"/>
    <cellStyle name="40% - Accent3 4_Exist Trunk Assets - Ferry" xfId="8512" xr:uid="{4822EE6D-B43C-45C2-95E7-D88E86768BCF}"/>
    <cellStyle name="40% - Accent3 40" xfId="405" xr:uid="{0309F46D-A316-4AA0-BBF8-77DBFD23E3FE}"/>
    <cellStyle name="40% - Accent3 40 2" xfId="4024" xr:uid="{7C1E1DE8-4A82-42F0-BBFA-E13D413A2F46}"/>
    <cellStyle name="40% - Accent3 40 3" xfId="4025" xr:uid="{1823CF0B-5FD9-4FB2-9B0D-1FE52D397A5F}"/>
    <cellStyle name="40% - Accent3 40 4" xfId="4026" xr:uid="{8805281B-0CF0-4579-9E17-D14D81DA95AA}"/>
    <cellStyle name="40% - Accent3 5" xfId="406" xr:uid="{320F50E5-9353-4255-B89E-2C7A3A419949}"/>
    <cellStyle name="40% - Accent3 5 2" xfId="1856" xr:uid="{65195BFD-68BD-427B-B6E5-67986D0BD7FB}"/>
    <cellStyle name="40% - Accent3 5 2 2" xfId="2391" xr:uid="{5BBA6D82-2843-4EAC-8B79-32D80215D158}"/>
    <cellStyle name="40% - Accent3 5 2 2 2" xfId="4027" xr:uid="{12020B58-8AD9-4C28-990B-A2DA7FCDBB16}"/>
    <cellStyle name="40% - Accent3 5 2 2 2 2" xfId="4028" xr:uid="{DE5185D0-0C44-4F90-9E4C-1456E63593A1}"/>
    <cellStyle name="40% - Accent3 5 2 2 2_Exist Trunk Assets - Ferry" xfId="8520" xr:uid="{A2F95F2A-14B0-47AA-B52E-7808B59A8B19}"/>
    <cellStyle name="40% - Accent3 5 2 2 3" xfId="4029" xr:uid="{C129DC0E-3AB4-401F-AC16-86B16E803765}"/>
    <cellStyle name="40% - Accent3 5 2 2 3 2" xfId="4030" xr:uid="{08999DC6-6454-43E0-B2A6-7B36DFA01EF5}"/>
    <cellStyle name="40% - Accent3 5 2 2 3_Exist Trunk Assets - Ferry" xfId="8521" xr:uid="{61737B4D-B074-4017-AED0-DAF54415DD03}"/>
    <cellStyle name="40% - Accent3 5 2 2 4" xfId="4031" xr:uid="{C4F02908-1642-4252-B8F2-4B03E24F318D}"/>
    <cellStyle name="40% - Accent3 5 2 2_Exist Trunk Assets - Ferry" xfId="8519" xr:uid="{72FB81D8-643C-431F-83B4-E0493C8A46C3}"/>
    <cellStyle name="40% - Accent3 5 2 3" xfId="4032" xr:uid="{28AB2F2D-B347-4450-A488-CB96D071356C}"/>
    <cellStyle name="40% - Accent3 5 2 4" xfId="4033" xr:uid="{917DBDE9-765B-4728-A321-461876AF2400}"/>
    <cellStyle name="40% - Accent3 5 2 5" xfId="4034" xr:uid="{26C82CF5-8F65-427A-B3C9-3DCA66B9ADD1}"/>
    <cellStyle name="40% - Accent3 5 3" xfId="4035" xr:uid="{CDA1F29D-E650-4DA8-AA3E-1410584E35AD}"/>
    <cellStyle name="40% - Accent3 5 3 2" xfId="4036" xr:uid="{DB492589-9486-4D93-9C86-C19AB6CAB71D}"/>
    <cellStyle name="40% - Accent3 5 3_Exist Trunk Assets - Ferry" xfId="8522" xr:uid="{4859FC63-D0A4-43AD-BBE4-36CDF0DE9B66}"/>
    <cellStyle name="40% - Accent3 5 4" xfId="4037" xr:uid="{C4C4F9EE-142E-44AA-911A-99D3CA228270}"/>
    <cellStyle name="40% - Accent3 5 4 2" xfId="4038" xr:uid="{49CE5742-8413-4AB3-B849-5828BFED5277}"/>
    <cellStyle name="40% - Accent3 5 4_Exist Trunk Assets - Ferry" xfId="8523" xr:uid="{F743145B-83F7-4E8D-AD5E-58F4677BD0D1}"/>
    <cellStyle name="40% - Accent3 5 5" xfId="4039" xr:uid="{E9923C83-202E-48D7-B80A-649939ACBA53}"/>
    <cellStyle name="40% - Accent3 5_Exist Trunk Assets - Ferry" xfId="8518" xr:uid="{FEA69EE8-1340-4F0D-A0B9-76FCAEE6FF8E}"/>
    <cellStyle name="40% - Accent3 6" xfId="407" xr:uid="{38860825-8F0C-457A-87F2-537CAF0B5A8E}"/>
    <cellStyle name="40% - Accent3 6 2" xfId="4040" xr:uid="{5CF9BC73-A013-447A-A5EF-B00B33AFFF56}"/>
    <cellStyle name="40% - Accent3 6 3" xfId="4041" xr:uid="{2EA62C13-E37B-42D7-A8F2-D0616DB6B349}"/>
    <cellStyle name="40% - Accent3 6 4" xfId="4042" xr:uid="{69BA5328-D0AB-422B-A5B4-333062AC072B}"/>
    <cellStyle name="40% - Accent3 7" xfId="408" xr:uid="{1C059FA9-F26A-4287-BC82-DFFBA3657FBB}"/>
    <cellStyle name="40% - Accent3 7 2" xfId="4043" xr:uid="{03C63227-E39E-443E-9D65-71409F610D87}"/>
    <cellStyle name="40% - Accent3 7 3" xfId="4044" xr:uid="{5FD2165E-6CEF-49A0-B2DD-C0D8A1E8A61E}"/>
    <cellStyle name="40% - Accent3 7 4" xfId="4045" xr:uid="{AC534F96-5C1C-492A-9614-20CC78132FE6}"/>
    <cellStyle name="40% - Accent3 8" xfId="409" xr:uid="{2B46C55C-6C05-4365-8885-B36C34843FAC}"/>
    <cellStyle name="40% - Accent3 8 2" xfId="4046" xr:uid="{8C35E0FB-96B6-4A85-9E1A-25B3E8A4667F}"/>
    <cellStyle name="40% - Accent3 8 3" xfId="4047" xr:uid="{3676A263-DA15-4E2A-9876-0167B2BC05E1}"/>
    <cellStyle name="40% - Accent3 8 4" xfId="4048" xr:uid="{0EDFE582-FDA1-41DA-A8C3-16E8E487F30A}"/>
    <cellStyle name="40% - Accent3 9" xfId="410" xr:uid="{BD991737-1CEF-4813-BE05-23E78FD3588A}"/>
    <cellStyle name="40% - Accent3 9 2" xfId="4049" xr:uid="{598821FD-D5E0-4814-92BF-38724246EC0C}"/>
    <cellStyle name="40% - Accent3 9 3" xfId="4050" xr:uid="{F53CA7CD-7AA2-40F6-BC84-D9E417A03762}"/>
    <cellStyle name="40% - Accent3 9 4" xfId="4051" xr:uid="{2F37D785-4F49-447B-88D1-E776BD7DD364}"/>
    <cellStyle name="40% - Accent4 10" xfId="411" xr:uid="{B39F9FA4-EE7D-472C-8D56-B548C4D33F21}"/>
    <cellStyle name="40% - Accent4 10 2" xfId="4052" xr:uid="{1F18376C-8434-4576-9366-B041BF5015E9}"/>
    <cellStyle name="40% - Accent4 10 3" xfId="4053" xr:uid="{F49F5642-D08E-45AC-8F5D-604500DDB51F}"/>
    <cellStyle name="40% - Accent4 10 4" xfId="4054" xr:uid="{28B4EF1F-B4DF-4047-A76D-A7ADB5561364}"/>
    <cellStyle name="40% - Accent4 11" xfId="412" xr:uid="{72CAFC63-57B2-4395-83F7-F5EFC2B68E15}"/>
    <cellStyle name="40% - Accent4 11 2" xfId="4055" xr:uid="{1E1CB4EB-29F2-4281-AF60-D776719CED59}"/>
    <cellStyle name="40% - Accent4 11 3" xfId="4056" xr:uid="{62779323-65F6-43D1-B861-B5E7067DA2E1}"/>
    <cellStyle name="40% - Accent4 11 4" xfId="4057" xr:uid="{652215D8-CF6A-4752-892A-D6A5F42FA773}"/>
    <cellStyle name="40% - Accent4 12" xfId="413" xr:uid="{35F603EA-D36B-4D0A-9D84-0D2964228C6E}"/>
    <cellStyle name="40% - Accent4 12 2" xfId="4058" xr:uid="{BC641E17-2E24-4ED8-9F8B-125621F6B4D3}"/>
    <cellStyle name="40% - Accent4 12 3" xfId="4059" xr:uid="{1AC4B47A-B654-496E-811D-B6805B54AF07}"/>
    <cellStyle name="40% - Accent4 12 4" xfId="4060" xr:uid="{D3420F6F-859F-499D-AD5E-01BA1B7F27BF}"/>
    <cellStyle name="40% - Accent4 13" xfId="414" xr:uid="{17BE6254-CBD4-4938-95FC-DEB43321C558}"/>
    <cellStyle name="40% - Accent4 13 2" xfId="4061" xr:uid="{C2A7909E-CA36-4D03-B24B-D32CE1611886}"/>
    <cellStyle name="40% - Accent4 13 3" xfId="4062" xr:uid="{1A2947FA-F56B-4BC6-B7B6-0282BCA1C69B}"/>
    <cellStyle name="40% - Accent4 13 4" xfId="4063" xr:uid="{C29758AF-56B6-4A15-8E65-E796B678F0A8}"/>
    <cellStyle name="40% - Accent4 14" xfId="415" xr:uid="{D8FF1BB2-35F3-46EF-97BB-E6D901E9783B}"/>
    <cellStyle name="40% - Accent4 14 2" xfId="4064" xr:uid="{A7D04B80-311B-4495-9EBA-BAD3106895AE}"/>
    <cellStyle name="40% - Accent4 14 3" xfId="4065" xr:uid="{7C6973E4-14B8-4689-A0B6-55186EECFAEE}"/>
    <cellStyle name="40% - Accent4 14 4" xfId="4066" xr:uid="{B77B74E4-9AFB-468B-B23F-8672A1CDF2B1}"/>
    <cellStyle name="40% - Accent4 15" xfId="416" xr:uid="{51A02266-A8F8-4B6D-86D3-70257887DC9E}"/>
    <cellStyle name="40% - Accent4 15 2" xfId="4067" xr:uid="{5C192ADA-C8F9-4930-8EE8-14C250C5F732}"/>
    <cellStyle name="40% - Accent4 15 3" xfId="4068" xr:uid="{4016D512-C074-47B2-9653-2835A2CAEC9B}"/>
    <cellStyle name="40% - Accent4 15 4" xfId="4069" xr:uid="{2842F5F3-33C9-4627-89C4-B4130E17240C}"/>
    <cellStyle name="40% - Accent4 16" xfId="417" xr:uid="{F2F5810E-1785-49D8-9523-3B9B51958063}"/>
    <cellStyle name="40% - Accent4 16 2" xfId="4070" xr:uid="{52C16F65-712D-4E3F-BE16-FCAB0E8920B5}"/>
    <cellStyle name="40% - Accent4 16 3" xfId="4071" xr:uid="{DFE56512-4416-4277-8F50-7128051F98D3}"/>
    <cellStyle name="40% - Accent4 16 4" xfId="4072" xr:uid="{2B66B74F-257C-4AFF-A1BE-5CE8A0E7BC0B}"/>
    <cellStyle name="40% - Accent4 17" xfId="418" xr:uid="{C04309D4-79A7-4AB4-9B03-6B577CBADFB1}"/>
    <cellStyle name="40% - Accent4 17 2" xfId="4073" xr:uid="{3B40A9B9-BFC4-4428-8AD7-68E2485FED53}"/>
    <cellStyle name="40% - Accent4 17 3" xfId="4074" xr:uid="{B987D776-C273-4110-B283-ABE0C5F0F579}"/>
    <cellStyle name="40% - Accent4 17 4" xfId="4075" xr:uid="{36AE2EBD-D7C2-48AD-AAC3-35CC516FE9EA}"/>
    <cellStyle name="40% - Accent4 18" xfId="419" xr:uid="{3BD7ED1F-2209-4A2B-9BAB-668FE9FA2BF1}"/>
    <cellStyle name="40% - Accent4 18 2" xfId="4076" xr:uid="{DB35E8AD-C9EF-4896-8B2B-FAE3FE377947}"/>
    <cellStyle name="40% - Accent4 18 3" xfId="4077" xr:uid="{958B7823-FC35-4AEC-BB8E-526D53F8910B}"/>
    <cellStyle name="40% - Accent4 18 4" xfId="4078" xr:uid="{8E8600EA-31A0-467C-ABF5-984CE28A23E8}"/>
    <cellStyle name="40% - Accent4 19" xfId="420" xr:uid="{11292388-87ED-4FA5-8316-2FD5B8F7584A}"/>
    <cellStyle name="40% - Accent4 19 2" xfId="4079" xr:uid="{2A330330-AE52-4E69-BD32-C672FF78E81F}"/>
    <cellStyle name="40% - Accent4 19 3" xfId="4080" xr:uid="{6A810DF1-2F29-4192-83ED-2BD363DE6B14}"/>
    <cellStyle name="40% - Accent4 19 4" xfId="4081" xr:uid="{EC14E123-4D09-4843-9DA6-C47F2382A36C}"/>
    <cellStyle name="40% - Accent4 2" xfId="421" xr:uid="{CAAB0266-AD28-441C-BAC3-542FDF9F5BC6}"/>
    <cellStyle name="40% - Accent4 2 2" xfId="422" xr:uid="{75F950B5-D545-49A2-A2D8-332FACEA76B1}"/>
    <cellStyle name="40% - Accent4 2 2 2" xfId="2393" xr:uid="{EF6C67A6-B19C-456A-8E95-13EC7823EBF0}"/>
    <cellStyle name="40% - Accent4 2 2 2 2" xfId="4082" xr:uid="{21757448-5662-49C9-B961-B07029204651}"/>
    <cellStyle name="40% - Accent4 2 2 2 3" xfId="4083" xr:uid="{6CF6450F-A1B9-4E48-B3B7-0EF4FC26E68D}"/>
    <cellStyle name="40% - Accent4 2 2 2 4" xfId="4084" xr:uid="{380925CE-8F2E-4569-B6D7-3B333417AB48}"/>
    <cellStyle name="40% - Accent4 2 2 3" xfId="2392" xr:uid="{73F1EB1F-3A54-485E-9306-B7799FFA2FE2}"/>
    <cellStyle name="40% - Accent4 2 2 3 2" xfId="4085" xr:uid="{12087D57-61D1-4D10-8AD8-321DCD53D0E2}"/>
    <cellStyle name="40% - Accent4 2 2 3 2 2" xfId="4086" xr:uid="{5811550F-D810-43E7-A838-5126BB71C894}"/>
    <cellStyle name="40% - Accent4 2 2 3 2_Exist Trunk Assets - Ferry" xfId="8526" xr:uid="{4AED2A10-80EE-47BB-B041-06B76BF5A1D9}"/>
    <cellStyle name="40% - Accent4 2 2 3 3" xfId="4087" xr:uid="{40C50511-6002-4CBF-AD39-A10105C8E93A}"/>
    <cellStyle name="40% - Accent4 2 2 3 3 2" xfId="4088" xr:uid="{8F660D67-7A23-46D1-8D7F-984CF7DBD4F7}"/>
    <cellStyle name="40% - Accent4 2 2 3 3_Exist Trunk Assets - Ferry" xfId="8527" xr:uid="{8443665D-D910-4F10-81B0-0256CB289617}"/>
    <cellStyle name="40% - Accent4 2 2 3 4" xfId="4089" xr:uid="{0AEA9279-02C0-4DFD-B7F4-DD2248E289BD}"/>
    <cellStyle name="40% - Accent4 2 2 3_Exist Trunk Assets - Ferry" xfId="8525" xr:uid="{59347A65-7C5D-4FAA-BF66-ABE92C00A4A5}"/>
    <cellStyle name="40% - Accent4 2 2 4" xfId="4090" xr:uid="{3D8BCB99-E356-40A2-B1AA-2A9EFAB11D1E}"/>
    <cellStyle name="40% - Accent4 2 2 5" xfId="4091" xr:uid="{5AA997BD-9E1B-4033-A995-D441EAA155B5}"/>
    <cellStyle name="40% - Accent4 2 2 6" xfId="4092" xr:uid="{A7E421B2-9E2A-41B6-9E17-48B4F6AF84D2}"/>
    <cellStyle name="40% - Accent4 2 3" xfId="423" xr:uid="{08F89C2E-BC74-4D04-B5DE-0E335346EA36}"/>
    <cellStyle name="40% - Accent4 2 3 2" xfId="4093" xr:uid="{8CC5EB49-4D73-4CCF-B769-87479D0B6686}"/>
    <cellStyle name="40% - Accent4 2 3 2 2" xfId="4094" xr:uid="{2644CB8D-8FCD-44A4-A4BF-995909977CED}"/>
    <cellStyle name="40% - Accent4 2 3 2_Exist Trunk Assets - Ferry" xfId="8529" xr:uid="{32014150-AEAF-4EED-85FB-0E720451C877}"/>
    <cellStyle name="40% - Accent4 2 3 3" xfId="4095" xr:uid="{DCB3D763-8ED5-4953-9BBC-9ED87BFE3FF2}"/>
    <cellStyle name="40% - Accent4 2 3 3 2" xfId="4096" xr:uid="{A6763C06-DD4B-4CF9-9282-3C55C0F746D4}"/>
    <cellStyle name="40% - Accent4 2 3 3_Exist Trunk Assets - Ferry" xfId="8530" xr:uid="{D9A8EECC-3461-4B7A-9875-9B0663C7ACC3}"/>
    <cellStyle name="40% - Accent4 2 3 4" xfId="4097" xr:uid="{F5893DA7-A2DE-4A55-A465-131AD18106C9}"/>
    <cellStyle name="40% - Accent4 2 3_Exist Trunk Assets - Ferry" xfId="8528" xr:uid="{C5700831-75DB-4DFC-AA29-6357B0749D4B}"/>
    <cellStyle name="40% - Accent4 2 4" xfId="4098" xr:uid="{1DA36FB0-1191-4B5A-A2DF-40A85BBDF70E}"/>
    <cellStyle name="40% - Accent4 2 4 2" xfId="4099" xr:uid="{4138C475-F9B0-4509-BA3B-FB9E6E799196}"/>
    <cellStyle name="40% - Accent4 2 4_Exist Trunk Assets - Ferry" xfId="8531" xr:uid="{52D4D026-3D56-4740-88CF-A6AAFD80DCBD}"/>
    <cellStyle name="40% - Accent4 2 5" xfId="4100" xr:uid="{A2E959C2-AA61-4595-BF6A-A6BA1DE03FA4}"/>
    <cellStyle name="40% - Accent4 2 5 2" xfId="4101" xr:uid="{F66F9B2D-36C1-499D-AC20-70283E49361C}"/>
    <cellStyle name="40% - Accent4 2 5_Exist Trunk Assets - Ferry" xfId="8532" xr:uid="{49A45335-1ECB-4596-957D-5207E67F50F6}"/>
    <cellStyle name="40% - Accent4 2 6" xfId="4102" xr:uid="{9ABD4500-415B-4B15-AE87-864154C824C6}"/>
    <cellStyle name="40% - Accent4 2 7" xfId="8134" xr:uid="{E1236D75-E250-4B59-A5A4-A878E00C5E8E}"/>
    <cellStyle name="40% - Accent4 2_Exist Trunk Assets - Ferry" xfId="8524" xr:uid="{10BC4CD0-99DA-4EDC-8541-33D90010D531}"/>
    <cellStyle name="40% - Accent4 20" xfId="424" xr:uid="{8CEC7813-3D3E-42D5-AFEA-A2F16EBE6F05}"/>
    <cellStyle name="40% - Accent4 20 2" xfId="4103" xr:uid="{E4D0ED35-D309-4CEB-844F-F2BD368D922D}"/>
    <cellStyle name="40% - Accent4 20 3" xfId="4104" xr:uid="{A85D16AE-D94F-413B-ADFF-7B408FAF73C8}"/>
    <cellStyle name="40% - Accent4 20 4" xfId="4105" xr:uid="{3A409257-304B-4658-A982-013B4B39BD35}"/>
    <cellStyle name="40% - Accent4 21" xfId="425" xr:uid="{420E5E09-6677-4A50-8FDA-1A09D1F276D7}"/>
    <cellStyle name="40% - Accent4 21 2" xfId="4106" xr:uid="{2DC58AE6-8C78-4E50-B357-6CA18FEAD7E0}"/>
    <cellStyle name="40% - Accent4 21 3" xfId="4107" xr:uid="{B5680CA5-510D-491A-95CB-0B8B64BCFB02}"/>
    <cellStyle name="40% - Accent4 21 4" xfId="4108" xr:uid="{AA2F0695-FD67-41E9-8CB8-7D0193FD86CC}"/>
    <cellStyle name="40% - Accent4 22" xfId="426" xr:uid="{47AB28F4-E5B4-496B-A245-B598741D6259}"/>
    <cellStyle name="40% - Accent4 22 2" xfId="4109" xr:uid="{5C3176C9-B4B8-4023-9249-96A41617CBF4}"/>
    <cellStyle name="40% - Accent4 22 3" xfId="4110" xr:uid="{BDAB8CA5-32D8-478D-B0B9-F6070EAF774C}"/>
    <cellStyle name="40% - Accent4 22 4" xfId="4111" xr:uid="{15DCA08F-86B1-4E65-A874-20416E3736E9}"/>
    <cellStyle name="40% - Accent4 23" xfId="427" xr:uid="{FCE1D276-40B2-41FD-9F47-A72A19F0EF45}"/>
    <cellStyle name="40% - Accent4 23 2" xfId="4112" xr:uid="{56727C5D-B90B-4D55-9EB6-D68D794051A7}"/>
    <cellStyle name="40% - Accent4 23 3" xfId="4113" xr:uid="{BEEF4BDB-47E3-4D6D-87DE-C64CE5C44404}"/>
    <cellStyle name="40% - Accent4 23 4" xfId="4114" xr:uid="{4461DAF5-5BC1-4298-9F8F-06A22068375C}"/>
    <cellStyle name="40% - Accent4 24" xfId="428" xr:uid="{B7D6FD0A-4667-4805-9825-9D706AFB389C}"/>
    <cellStyle name="40% - Accent4 24 2" xfId="4115" xr:uid="{AAD13820-7872-44B6-BB9B-5CEDDC14B712}"/>
    <cellStyle name="40% - Accent4 24 3" xfId="4116" xr:uid="{74B4EBAD-D205-4987-AEFD-993656BAA2BC}"/>
    <cellStyle name="40% - Accent4 24 4" xfId="4117" xr:uid="{09BFAF4C-A1C7-4E1A-A640-97496DA63918}"/>
    <cellStyle name="40% - Accent4 25" xfId="429" xr:uid="{DDF3460E-B8C7-4E0C-B50C-7BBB31B9E94F}"/>
    <cellStyle name="40% - Accent4 25 2" xfId="4118" xr:uid="{93F0E44D-7E82-42EC-897A-DC46A609FD49}"/>
    <cellStyle name="40% - Accent4 25 3" xfId="4119" xr:uid="{74B83A9B-290E-47BF-B0A6-55B8BFE8A1B0}"/>
    <cellStyle name="40% - Accent4 25 4" xfId="4120" xr:uid="{EE1F751F-8BB2-4C17-AFBF-DE4244ABEC68}"/>
    <cellStyle name="40% - Accent4 26" xfId="430" xr:uid="{9DDD764C-C2E2-40BD-8F09-D2339029E1A6}"/>
    <cellStyle name="40% - Accent4 26 2" xfId="4121" xr:uid="{851A8F17-C6AB-4C2A-9FBD-F40466411DA3}"/>
    <cellStyle name="40% - Accent4 26 3" xfId="4122" xr:uid="{20BEBF73-646F-498E-B903-5EA733A66C6A}"/>
    <cellStyle name="40% - Accent4 26 4" xfId="4123" xr:uid="{6CB172B8-2446-4932-8255-2D0AE0D0F867}"/>
    <cellStyle name="40% - Accent4 27" xfId="431" xr:uid="{3DAFE512-AF1B-4F00-89D4-E9A031A4B467}"/>
    <cellStyle name="40% - Accent4 27 2" xfId="4124" xr:uid="{18F2CF1C-971E-4BFC-B65E-D7D66ABFF325}"/>
    <cellStyle name="40% - Accent4 27 3" xfId="4125" xr:uid="{FF64C5CF-C0E5-4D0D-8160-E196E757EE8C}"/>
    <cellStyle name="40% - Accent4 27 4" xfId="4126" xr:uid="{8AE34FD4-C5B6-4B08-A813-8A5E38E84904}"/>
    <cellStyle name="40% - Accent4 28" xfId="432" xr:uid="{BAE38443-7298-4A3D-9F83-3362407A4207}"/>
    <cellStyle name="40% - Accent4 28 2" xfId="4127" xr:uid="{829DA9E2-072C-4B97-A3F4-D351A3325ECB}"/>
    <cellStyle name="40% - Accent4 28 3" xfId="4128" xr:uid="{3C387681-5CD4-4561-BEC9-5CC5A0054DFD}"/>
    <cellStyle name="40% - Accent4 28 4" xfId="4129" xr:uid="{C0392D70-1C32-4FEA-8CD7-DA076F3EF110}"/>
    <cellStyle name="40% - Accent4 29" xfId="433" xr:uid="{BC193FC3-437D-499D-9A93-22278F1AF8D0}"/>
    <cellStyle name="40% - Accent4 29 2" xfId="4130" xr:uid="{CA2B1C5D-610E-4006-AE6A-AB83020735A7}"/>
    <cellStyle name="40% - Accent4 29 3" xfId="4131" xr:uid="{B5C24B11-8F9D-4CFE-8EEC-96D1FBF9516D}"/>
    <cellStyle name="40% - Accent4 29 4" xfId="4132" xr:uid="{9F07A86C-2FB0-427D-AF1B-C43F1A22A912}"/>
    <cellStyle name="40% - Accent4 3" xfId="434" xr:uid="{3A4DBA52-DD01-4CBD-B91F-7BFC834DF3AD}"/>
    <cellStyle name="40% - Accent4 3 2" xfId="435" xr:uid="{D45F2CB7-BE33-4C23-9475-F34514B9E882}"/>
    <cellStyle name="40% - Accent4 3 2 2" xfId="4133" xr:uid="{16B27F98-8422-473E-BE52-D714302C1192}"/>
    <cellStyle name="40% - Accent4 3 2 2 2" xfId="4134" xr:uid="{343D80EF-7F83-499B-A153-A3EB9C5E3F02}"/>
    <cellStyle name="40% - Accent4 3 2 2_Exist Trunk Assets - Ferry" xfId="8535" xr:uid="{0EF7A351-B9F3-4DEB-8204-D33768A57B73}"/>
    <cellStyle name="40% - Accent4 3 2 3" xfId="4135" xr:uid="{6E001686-50DF-414C-A960-582B412D514A}"/>
    <cellStyle name="40% - Accent4 3 2 3 2" xfId="4136" xr:uid="{098EB755-98CF-4D28-85B4-8837B8383CA4}"/>
    <cellStyle name="40% - Accent4 3 2 3_Exist Trunk Assets - Ferry" xfId="8536" xr:uid="{AD8E0853-EC89-4673-8E1F-E5B1519FD789}"/>
    <cellStyle name="40% - Accent4 3 2 4" xfId="4137" xr:uid="{AEA16703-9659-4F49-828B-1A984D17DA8C}"/>
    <cellStyle name="40% - Accent4 3 2_Exist Trunk Assets - Ferry" xfId="8534" xr:uid="{781FEB65-330C-4307-8B15-D48ED3ABA698}"/>
    <cellStyle name="40% - Accent4 3 3" xfId="1860" xr:uid="{A7334E59-1133-40BE-8958-00D434C3C912}"/>
    <cellStyle name="40% - Accent4 3 3 2" xfId="4138" xr:uid="{3808FFCF-DEB7-4397-8E82-797F726B4BF4}"/>
    <cellStyle name="40% - Accent4 3 3 3" xfId="4139" xr:uid="{DA3B38EF-2647-4583-8B7B-C4C6A2576BB1}"/>
    <cellStyle name="40% - Accent4 3 3 4" xfId="4140" xr:uid="{600AB0DB-8967-4C3B-A3C6-8FD2E0154FBB}"/>
    <cellStyle name="40% - Accent4 3 4" xfId="4141" xr:uid="{533893DB-82F1-45F9-8298-A60CC4D9612F}"/>
    <cellStyle name="40% - Accent4 3 4 2" xfId="4142" xr:uid="{01D903DB-BD9C-4F9F-9FA8-0D13629B21E2}"/>
    <cellStyle name="40% - Accent4 3 4_Exist Trunk Assets - Ferry" xfId="8537" xr:uid="{AD4C935C-6FED-4304-AF6B-F0080D4388FE}"/>
    <cellStyle name="40% - Accent4 3 5" xfId="4143" xr:uid="{ED36EAF1-EB65-4798-B117-079EF747B5D3}"/>
    <cellStyle name="40% - Accent4 3 5 2" xfId="4144" xr:uid="{E7F98B33-83E8-4D84-9EB4-A0BC0CB9E586}"/>
    <cellStyle name="40% - Accent4 3 5_Exist Trunk Assets - Ferry" xfId="8538" xr:uid="{BF75821A-235B-4EBC-AB60-92EBD57796F9}"/>
    <cellStyle name="40% - Accent4 3 6" xfId="4145" xr:uid="{88DF597F-7F12-4F0E-AEAF-E705EC1AE569}"/>
    <cellStyle name="40% - Accent4 3_Exist Trunk Assets - Ferry" xfId="8533" xr:uid="{A68BEB4F-B6C1-43B2-AB37-2D326D686F55}"/>
    <cellStyle name="40% - Accent4 30" xfId="436" xr:uid="{CDD9A764-9A79-4BD7-A4D5-DCE185A4291C}"/>
    <cellStyle name="40% - Accent4 30 2" xfId="4146" xr:uid="{DA1F84C8-3666-4897-9CB1-072F3373691F}"/>
    <cellStyle name="40% - Accent4 30 3" xfId="4147" xr:uid="{8463C371-EB0E-435F-AF55-84D501BE6797}"/>
    <cellStyle name="40% - Accent4 30 4" xfId="4148" xr:uid="{E27479ED-9D81-4570-8B2C-5F09E01C5628}"/>
    <cellStyle name="40% - Accent4 31" xfId="437" xr:uid="{D2B39552-26CA-4DC4-9426-505237029BCB}"/>
    <cellStyle name="40% - Accent4 31 2" xfId="4149" xr:uid="{2E4F6292-CF1D-4BA3-A40C-8B62EFC524E4}"/>
    <cellStyle name="40% - Accent4 31 3" xfId="4150" xr:uid="{216DFD84-A889-4092-9A8D-BF094DD91C14}"/>
    <cellStyle name="40% - Accent4 31 4" xfId="4151" xr:uid="{F5A70BB3-F06B-4277-825F-8B074ADE3FB6}"/>
    <cellStyle name="40% - Accent4 32" xfId="438" xr:uid="{BC598DE4-D944-4953-9067-4F7B99AC15A3}"/>
    <cellStyle name="40% - Accent4 32 2" xfId="4152" xr:uid="{0F348178-86CB-4A6B-8563-50A3DC17BEAD}"/>
    <cellStyle name="40% - Accent4 32 3" xfId="4153" xr:uid="{28AFF80C-E383-4A87-BC62-0BB4FB6C5974}"/>
    <cellStyle name="40% - Accent4 32 4" xfId="4154" xr:uid="{DE4A4D07-7AB8-4141-BE6E-C537E15339CF}"/>
    <cellStyle name="40% - Accent4 33" xfId="439" xr:uid="{D36DD7B7-D82C-40EE-9CCB-836A225E978E}"/>
    <cellStyle name="40% - Accent4 33 2" xfId="4155" xr:uid="{21C9C025-DB0B-4985-9AA9-59B196921EFA}"/>
    <cellStyle name="40% - Accent4 33 3" xfId="4156" xr:uid="{29564CF0-AE28-40A8-BC4C-4040C2921740}"/>
    <cellStyle name="40% - Accent4 33 4" xfId="4157" xr:uid="{3342C7B1-5F85-4294-8B45-1291FCAD47DB}"/>
    <cellStyle name="40% - Accent4 34" xfId="440" xr:uid="{8995DD74-9B22-4EB4-BD3A-2FA30A27103C}"/>
    <cellStyle name="40% - Accent4 34 2" xfId="4158" xr:uid="{7AA81BDF-429E-4A7E-AD84-91ADF25C75FD}"/>
    <cellStyle name="40% - Accent4 34 3" xfId="4159" xr:uid="{66FEF491-D06C-43FE-B936-F42A022691D7}"/>
    <cellStyle name="40% - Accent4 34 4" xfId="4160" xr:uid="{AF32C7EB-4F0B-44C3-ABB2-43726AC450CF}"/>
    <cellStyle name="40% - Accent4 35" xfId="441" xr:uid="{168EA11A-E28C-498B-B962-E3A28A81E3AD}"/>
    <cellStyle name="40% - Accent4 35 2" xfId="4161" xr:uid="{403F1A81-F9AD-4720-A47D-B28C09E3A452}"/>
    <cellStyle name="40% - Accent4 35 3" xfId="4162" xr:uid="{1B20AB6F-6496-474A-B88C-3DA6B98BD9E9}"/>
    <cellStyle name="40% - Accent4 35 4" xfId="4163" xr:uid="{7CA017DA-73ED-4E16-BC2D-C16C6F45539D}"/>
    <cellStyle name="40% - Accent4 36" xfId="442" xr:uid="{041D577E-2042-48C0-90CD-9EC21447C60E}"/>
    <cellStyle name="40% - Accent4 36 2" xfId="4164" xr:uid="{DF3A9259-6A6D-4A8C-9BD5-5EF4F11E0001}"/>
    <cellStyle name="40% - Accent4 36 3" xfId="4165" xr:uid="{0CDE5E1D-583A-4466-B385-DC2F53A67C52}"/>
    <cellStyle name="40% - Accent4 36 4" xfId="4166" xr:uid="{A3224566-4E76-4F29-AFC1-43BAFEF1E177}"/>
    <cellStyle name="40% - Accent4 37" xfId="443" xr:uid="{12B98028-4021-4D21-985B-8EDFE964CEBA}"/>
    <cellStyle name="40% - Accent4 37 2" xfId="4167" xr:uid="{5515672A-7CAD-4878-84F1-3045069FD899}"/>
    <cellStyle name="40% - Accent4 37 3" xfId="4168" xr:uid="{C330202C-4A8A-4041-95D3-2D5BB238D49F}"/>
    <cellStyle name="40% - Accent4 37 4" xfId="4169" xr:uid="{B2DC814F-A783-418F-BEC4-640BE874BA23}"/>
    <cellStyle name="40% - Accent4 38" xfId="444" xr:uid="{E16E90BA-0D1B-41E3-8FAB-57CE6599FB5F}"/>
    <cellStyle name="40% - Accent4 38 2" xfId="4170" xr:uid="{5E70AAC2-1B07-4E35-A75C-8C40BE56BB6F}"/>
    <cellStyle name="40% - Accent4 38 3" xfId="4171" xr:uid="{E0C06907-55D5-482D-97B5-B5F0F4F8564E}"/>
    <cellStyle name="40% - Accent4 38 4" xfId="4172" xr:uid="{C82E9977-364D-4D1E-9AFF-7DBD12ABBB82}"/>
    <cellStyle name="40% - Accent4 39" xfId="445" xr:uid="{CB1F9250-59A4-4D70-A9E9-3EB0BB14FD56}"/>
    <cellStyle name="40% - Accent4 39 2" xfId="4173" xr:uid="{6631C890-A64A-4241-A3B5-EE16F2B61A4C}"/>
    <cellStyle name="40% - Accent4 39 3" xfId="4174" xr:uid="{12860BFE-0205-42EC-A5FF-EDCE4E49E914}"/>
    <cellStyle name="40% - Accent4 39 4" xfId="4175" xr:uid="{CB76DF22-950C-40AC-84FF-E2865195442A}"/>
    <cellStyle name="40% - Accent4 4" xfId="446" xr:uid="{DF70437E-1829-4702-96CA-4012C892B708}"/>
    <cellStyle name="40% - Accent4 4 2" xfId="447" xr:uid="{E245161C-5019-4B10-8F6A-AA338E50D4DD}"/>
    <cellStyle name="40% - Accent4 4 2 2" xfId="4176" xr:uid="{9FE63822-9CCC-4BCF-A050-450CE36C19BC}"/>
    <cellStyle name="40% - Accent4 4 2 2 2" xfId="4177" xr:uid="{87D5B15F-16E6-4E8E-8F76-40E9A64F3884}"/>
    <cellStyle name="40% - Accent4 4 2 2_Exist Trunk Assets - Ferry" xfId="8541" xr:uid="{B022476D-31F1-4336-89AB-ADACE3EB6456}"/>
    <cellStyle name="40% - Accent4 4 2 3" xfId="4178" xr:uid="{D7E9AE22-A146-411E-BCCD-51A74604E788}"/>
    <cellStyle name="40% - Accent4 4 2 3 2" xfId="4179" xr:uid="{E56FAA0D-947C-41CB-8636-95EA4B5B53A6}"/>
    <cellStyle name="40% - Accent4 4 2 3_Exist Trunk Assets - Ferry" xfId="8542" xr:uid="{FDD6C6FD-50A8-462E-8974-51A7589BB96D}"/>
    <cellStyle name="40% - Accent4 4 2 4" xfId="4180" xr:uid="{CA90398A-73BF-4B4A-8AC2-DF1145C76630}"/>
    <cellStyle name="40% - Accent4 4 2_Exist Trunk Assets - Ferry" xfId="8540" xr:uid="{5EA599E1-E419-4031-A8CA-8B826D26856E}"/>
    <cellStyle name="40% - Accent4 4 3" xfId="1861" xr:uid="{653A92D9-E4CC-4F62-9CBB-3D3A4E9D6B2F}"/>
    <cellStyle name="40% - Accent4 4 3 2" xfId="4181" xr:uid="{809643D4-031F-4B35-AF45-73C1741E9440}"/>
    <cellStyle name="40% - Accent4 4 3 3" xfId="4182" xr:uid="{1703FE16-B25D-45E3-94AD-FBDDC9F022C2}"/>
    <cellStyle name="40% - Accent4 4 3 4" xfId="4183" xr:uid="{A2231ACD-7902-4C2A-8990-5EDDAAD8F42E}"/>
    <cellStyle name="40% - Accent4 4 4" xfId="4184" xr:uid="{9A49AAF7-823A-441B-A97F-3BCD74D7D59D}"/>
    <cellStyle name="40% - Accent4 4 4 2" xfId="4185" xr:uid="{86122C4A-11E7-42A6-85D9-66CF2DE0765A}"/>
    <cellStyle name="40% - Accent4 4 4_Exist Trunk Assets - Ferry" xfId="8543" xr:uid="{E2547F00-C3F4-462E-BFA2-963A48C9BB6C}"/>
    <cellStyle name="40% - Accent4 4 5" xfId="4186" xr:uid="{792D8222-A8E2-4A9C-B4C8-58F8E0E75818}"/>
    <cellStyle name="40% - Accent4 4 5 2" xfId="4187" xr:uid="{E356FEA1-F2B0-4D56-913D-EDD33474E045}"/>
    <cellStyle name="40% - Accent4 4 5_Exist Trunk Assets - Ferry" xfId="8544" xr:uid="{A6C0E976-5635-4AB6-93ED-4EE854DDC77D}"/>
    <cellStyle name="40% - Accent4 4 6" xfId="4188" xr:uid="{FC738197-838F-42DB-B36D-6AA817148328}"/>
    <cellStyle name="40% - Accent4 4_Exist Trunk Assets - Ferry" xfId="8539" xr:uid="{6541A872-229D-4769-A39C-D9C1D62C4E7F}"/>
    <cellStyle name="40% - Accent4 40" xfId="448" xr:uid="{8266D615-77AF-4DD7-9B14-54598457E5F9}"/>
    <cellStyle name="40% - Accent4 40 2" xfId="4189" xr:uid="{9E70FFDE-E429-47CD-B9C1-08C2639A7563}"/>
    <cellStyle name="40% - Accent4 40 3" xfId="4190" xr:uid="{A67323E3-CC7F-47A7-B678-437BB2FBFE14}"/>
    <cellStyle name="40% - Accent4 40 4" xfId="4191" xr:uid="{8AF472F1-3AE1-4823-855E-1525189EC509}"/>
    <cellStyle name="40% - Accent4 5" xfId="449" xr:uid="{9DA90F33-6175-4A7C-81F2-D9A892581DA2}"/>
    <cellStyle name="40% - Accent4 5 2" xfId="1859" xr:uid="{B70EDF12-82AD-4EA4-8BEF-FD8AB54F6F24}"/>
    <cellStyle name="40% - Accent4 5 2 2" xfId="2394" xr:uid="{94E121D4-E6B2-4A39-BA14-1794E3A2A31F}"/>
    <cellStyle name="40% - Accent4 5 2 2 2" xfId="4192" xr:uid="{B631387B-46AF-486E-B1CE-977EE1DCB1AB}"/>
    <cellStyle name="40% - Accent4 5 2 2 2 2" xfId="4193" xr:uid="{39ADD54E-8EBC-40FC-86C4-8F9F14CD6CA8}"/>
    <cellStyle name="40% - Accent4 5 2 2 2_Exist Trunk Assets - Ferry" xfId="8547" xr:uid="{9099629A-1015-4EB3-8DB3-68C499373A8A}"/>
    <cellStyle name="40% - Accent4 5 2 2 3" xfId="4194" xr:uid="{7229C051-9AEC-4EC2-AECA-30A3438A452F}"/>
    <cellStyle name="40% - Accent4 5 2 2 3 2" xfId="4195" xr:uid="{417F276B-6A7B-4462-8540-6028812E50E5}"/>
    <cellStyle name="40% - Accent4 5 2 2 3_Exist Trunk Assets - Ferry" xfId="8548" xr:uid="{B5C1D003-9BA3-4F52-B09E-1687E609D3D8}"/>
    <cellStyle name="40% - Accent4 5 2 2 4" xfId="4196" xr:uid="{5A5021DF-A7D9-45C9-BADE-B13CB2E779C8}"/>
    <cellStyle name="40% - Accent4 5 2 2_Exist Trunk Assets - Ferry" xfId="8546" xr:uid="{65FBF940-9B57-4D93-9C68-D5F2AFA98ABB}"/>
    <cellStyle name="40% - Accent4 5 2 3" xfId="4197" xr:uid="{F0B224C9-4EDD-4BA2-9F63-0E98A897B7B5}"/>
    <cellStyle name="40% - Accent4 5 2 4" xfId="4198" xr:uid="{CB235124-4967-47A8-B51B-087B439D056D}"/>
    <cellStyle name="40% - Accent4 5 2 5" xfId="4199" xr:uid="{6041759C-A185-4DF9-953A-00FE51B46717}"/>
    <cellStyle name="40% - Accent4 5 3" xfId="4200" xr:uid="{CE4DCB20-AA48-4306-A104-66701E694ACF}"/>
    <cellStyle name="40% - Accent4 5 3 2" xfId="4201" xr:uid="{B35D915C-1A29-4DC6-B8BA-DD54648B7EAB}"/>
    <cellStyle name="40% - Accent4 5 3_Exist Trunk Assets - Ferry" xfId="8549" xr:uid="{3F00CF81-991B-4691-AFA0-0CC3C00E8EF8}"/>
    <cellStyle name="40% - Accent4 5 4" xfId="4202" xr:uid="{F220A34D-3408-43BA-B75B-B1FB7D88C5FA}"/>
    <cellStyle name="40% - Accent4 5 4 2" xfId="4203" xr:uid="{B64DC9E2-CF84-4919-A378-FE637CAAC066}"/>
    <cellStyle name="40% - Accent4 5 4_Exist Trunk Assets - Ferry" xfId="8550" xr:uid="{B32059C9-FA0E-4EAF-9588-0570BE2E4A7F}"/>
    <cellStyle name="40% - Accent4 5 5" xfId="4204" xr:uid="{3C96760C-332A-4F03-8258-AD6C4A3BA649}"/>
    <cellStyle name="40% - Accent4 5_Exist Trunk Assets - Ferry" xfId="8545" xr:uid="{C7AA6098-8B92-41F6-8482-656208E6C5A4}"/>
    <cellStyle name="40% - Accent4 6" xfId="450" xr:uid="{FAAB7D56-1ED3-43C9-8FF0-50C62CB96038}"/>
    <cellStyle name="40% - Accent4 6 2" xfId="4205" xr:uid="{2C42509E-D14B-4CC2-BEC3-86B8065A4769}"/>
    <cellStyle name="40% - Accent4 6 3" xfId="4206" xr:uid="{7E2E08D1-DB4D-464F-A0AF-EC847911CC3F}"/>
    <cellStyle name="40% - Accent4 6 4" xfId="4207" xr:uid="{D56DB1B4-6D60-4BE3-AE2C-F1BF66F05D49}"/>
    <cellStyle name="40% - Accent4 7" xfId="451" xr:uid="{4A58B0F9-81B4-43C2-B1F3-5D10C0B91259}"/>
    <cellStyle name="40% - Accent4 7 2" xfId="4208" xr:uid="{419DDE3F-6E06-4B4C-AB55-AF1769163658}"/>
    <cellStyle name="40% - Accent4 7 3" xfId="4209" xr:uid="{D162B62F-A16C-4C75-81EB-D2A070323877}"/>
    <cellStyle name="40% - Accent4 7 4" xfId="4210" xr:uid="{11F52D16-55F3-46F3-BF22-61202E3571CB}"/>
    <cellStyle name="40% - Accent4 8" xfId="452" xr:uid="{4C34F085-0E7B-4EC1-A561-3B7867CA2B46}"/>
    <cellStyle name="40% - Accent4 8 2" xfId="4211" xr:uid="{BC8726CF-4931-492C-8A40-CE9A346EEB0F}"/>
    <cellStyle name="40% - Accent4 8 3" xfId="4212" xr:uid="{C88A716E-5C65-4F9E-890F-88891A814570}"/>
    <cellStyle name="40% - Accent4 8 4" xfId="4213" xr:uid="{10CBB9C3-C6E4-4E8E-B09F-293DC0C9D0E6}"/>
    <cellStyle name="40% - Accent4 9" xfId="453" xr:uid="{EDDF7C49-1CEB-4D10-AB37-A343F8BAB40C}"/>
    <cellStyle name="40% - Accent4 9 2" xfId="4214" xr:uid="{DD84BB74-B25B-4E35-ACC5-B9A859629F18}"/>
    <cellStyle name="40% - Accent4 9 3" xfId="4215" xr:uid="{78C7C28B-93A1-4B62-AE4F-4C5F4FFFF08C}"/>
    <cellStyle name="40% - Accent4 9 4" xfId="4216" xr:uid="{6281B6E8-8AC0-450E-8D7B-100ECB4A4995}"/>
    <cellStyle name="40% - Accent5 10" xfId="454" xr:uid="{D2EAF397-2FEE-4691-AF61-FAE9329C6FE1}"/>
    <cellStyle name="40% - Accent5 10 2" xfId="4217" xr:uid="{73DD2798-D389-40A9-AC94-70597C92B904}"/>
    <cellStyle name="40% - Accent5 10 3" xfId="4218" xr:uid="{4A204570-438B-473D-89B1-9A09B0ED81E6}"/>
    <cellStyle name="40% - Accent5 10 4" xfId="4219" xr:uid="{117B5DC2-7536-4FAB-8223-FE223FA28F06}"/>
    <cellStyle name="40% - Accent5 11" xfId="455" xr:uid="{CF2F9ACB-7F4C-4563-BBAE-B4371C5D7456}"/>
    <cellStyle name="40% - Accent5 11 2" xfId="4220" xr:uid="{42DDBF4F-5121-4127-9993-DC84CF03A56C}"/>
    <cellStyle name="40% - Accent5 11 3" xfId="4221" xr:uid="{9A1C9C4D-6492-4140-ABB3-7F9095972AFF}"/>
    <cellStyle name="40% - Accent5 11 4" xfId="4222" xr:uid="{B1E757A5-9D83-4403-ACE0-CA75BA6B2D7B}"/>
    <cellStyle name="40% - Accent5 12" xfId="456" xr:uid="{D68C4188-8D07-49E8-BC4F-A31CD4F55AF1}"/>
    <cellStyle name="40% - Accent5 12 2" xfId="4223" xr:uid="{C697D60E-B269-43C7-BB03-AF75BD75E65E}"/>
    <cellStyle name="40% - Accent5 12 3" xfId="4224" xr:uid="{69A760C6-F7AB-45F7-8B8E-8EA486A0235A}"/>
    <cellStyle name="40% - Accent5 12 4" xfId="4225" xr:uid="{2C888F20-B476-445F-9B66-41D2846A6B2A}"/>
    <cellStyle name="40% - Accent5 13" xfId="457" xr:uid="{7C11FBAA-FF16-4D96-BEEF-519A39DBE22A}"/>
    <cellStyle name="40% - Accent5 13 2" xfId="4226" xr:uid="{D9C3C759-0D74-4D3A-8C93-A4348FB150CB}"/>
    <cellStyle name="40% - Accent5 13 3" xfId="4227" xr:uid="{776CC029-51F7-4B91-8EE5-E1247D682685}"/>
    <cellStyle name="40% - Accent5 13 4" xfId="4228" xr:uid="{5FA425BE-8ACF-451E-948E-330314DE033C}"/>
    <cellStyle name="40% - Accent5 14" xfId="458" xr:uid="{25729A69-C5F5-439B-B261-B390F6830BDC}"/>
    <cellStyle name="40% - Accent5 14 2" xfId="4229" xr:uid="{522407A4-E062-4D8B-990C-DF2953285D2B}"/>
    <cellStyle name="40% - Accent5 14 3" xfId="4230" xr:uid="{F4831DE0-0F3A-4432-AF11-C60B342CCEB9}"/>
    <cellStyle name="40% - Accent5 14 4" xfId="4231" xr:uid="{91E81EA2-CDD9-406B-B430-F7743DC07097}"/>
    <cellStyle name="40% - Accent5 15" xfId="459" xr:uid="{A3A95666-FD80-446D-A789-52ECAC3D560C}"/>
    <cellStyle name="40% - Accent5 15 2" xfId="4232" xr:uid="{B9489C44-E532-4582-8247-4CDB18A5121C}"/>
    <cellStyle name="40% - Accent5 15 3" xfId="4233" xr:uid="{8FB41BD2-2675-4EB0-BD88-8CBFF563C306}"/>
    <cellStyle name="40% - Accent5 15 4" xfId="4234" xr:uid="{EC7B2153-04FE-4413-AE06-ADC7A70ECEA6}"/>
    <cellStyle name="40% - Accent5 16" xfId="460" xr:uid="{20311E73-F54C-4F7C-BB5F-031345AF2F88}"/>
    <cellStyle name="40% - Accent5 16 2" xfId="4235" xr:uid="{799D5826-134B-4D91-AFF4-164B66318392}"/>
    <cellStyle name="40% - Accent5 16 3" xfId="4236" xr:uid="{BD607BA0-E866-4B12-80C6-AF646E95AF58}"/>
    <cellStyle name="40% - Accent5 16 4" xfId="4237" xr:uid="{2F0BE0DE-8916-4961-89B3-7564F1625D27}"/>
    <cellStyle name="40% - Accent5 17" xfId="461" xr:uid="{32A2C5DF-6DEB-4847-A6F8-807E5BBB3EB4}"/>
    <cellStyle name="40% - Accent5 17 2" xfId="4238" xr:uid="{1F682714-3BC4-49F9-A282-3C93AC6B82C5}"/>
    <cellStyle name="40% - Accent5 17 3" xfId="4239" xr:uid="{4376A477-950C-4E68-A028-BB2ED2E8F4DD}"/>
    <cellStyle name="40% - Accent5 17 4" xfId="4240" xr:uid="{9570C3EA-A9E6-44FD-896D-912685222FBB}"/>
    <cellStyle name="40% - Accent5 18" xfId="462" xr:uid="{13B3ADC3-E408-408B-A453-C95510D0B7E8}"/>
    <cellStyle name="40% - Accent5 18 2" xfId="4241" xr:uid="{0F29B5C2-10D7-448A-A86B-279229EA56F7}"/>
    <cellStyle name="40% - Accent5 18 3" xfId="4242" xr:uid="{D931E132-B476-4ECB-ABA4-7F38FB2A9FF3}"/>
    <cellStyle name="40% - Accent5 18 4" xfId="4243" xr:uid="{C9012AD0-E079-4001-9A05-08CACEAA56AC}"/>
    <cellStyle name="40% - Accent5 19" xfId="463" xr:uid="{DF0C1A5A-CFD3-42B6-A681-76D611859A12}"/>
    <cellStyle name="40% - Accent5 19 2" xfId="4244" xr:uid="{9C41E96B-F98C-4636-B126-E787C1B00134}"/>
    <cellStyle name="40% - Accent5 19 3" xfId="4245" xr:uid="{468E303A-ADEC-4162-A8BB-8D351AF004EC}"/>
    <cellStyle name="40% - Accent5 19 4" xfId="4246" xr:uid="{392F3134-073F-4CF9-BB2F-8A71EC772466}"/>
    <cellStyle name="40% - Accent5 2" xfId="464" xr:uid="{AC370200-E462-4FEF-A745-2CD920910DCE}"/>
    <cellStyle name="40% - Accent5 2 2" xfId="465" xr:uid="{5C043F7B-98BF-4365-88C7-24AB823FA9F2}"/>
    <cellStyle name="40% - Accent5 2 2 2" xfId="2396" xr:uid="{46E97B62-A658-4B9E-B9E5-F02E12F22CA0}"/>
    <cellStyle name="40% - Accent5 2 2 2 2" xfId="4247" xr:uid="{735D3174-8365-4615-82C5-2CC85EA374CF}"/>
    <cellStyle name="40% - Accent5 2 2 2 3" xfId="4248" xr:uid="{386C02AD-995E-4861-831E-D747A72AD249}"/>
    <cellStyle name="40% - Accent5 2 2 2 4" xfId="4249" xr:uid="{393DD490-4A68-4482-A11D-6B8B9B25D5D2}"/>
    <cellStyle name="40% - Accent5 2 2 3" xfId="2395" xr:uid="{46DBC59D-C2E4-40F5-B6F5-A6A55A618ECB}"/>
    <cellStyle name="40% - Accent5 2 2 3 2" xfId="4250" xr:uid="{1230E264-EC4D-42A7-803C-2DC54A54B84C}"/>
    <cellStyle name="40% - Accent5 2 2 3 2 2" xfId="4251" xr:uid="{DAD1B31B-D90A-4331-A689-229B7FFC99E6}"/>
    <cellStyle name="40% - Accent5 2 2 3 2_Exist Trunk Assets - Ferry" xfId="8553" xr:uid="{997FBC21-D0D5-42C2-92A7-78842838B3DD}"/>
    <cellStyle name="40% - Accent5 2 2 3 3" xfId="4252" xr:uid="{4D0289DC-0331-4AB5-9290-1CB8D298BFD9}"/>
    <cellStyle name="40% - Accent5 2 2 3 3 2" xfId="4253" xr:uid="{25153F63-16DC-401B-ABF6-35DFC9D0063F}"/>
    <cellStyle name="40% - Accent5 2 2 3 3_Exist Trunk Assets - Ferry" xfId="8554" xr:uid="{9D974CE9-20A7-4745-90BB-7FFE631AA11B}"/>
    <cellStyle name="40% - Accent5 2 2 3 4" xfId="4254" xr:uid="{712FC7F0-944E-4C84-8F87-93BB46ACB323}"/>
    <cellStyle name="40% - Accent5 2 2 3_Exist Trunk Assets - Ferry" xfId="8552" xr:uid="{736F0F1B-5135-4296-87F8-F334C60ADFEB}"/>
    <cellStyle name="40% - Accent5 2 2 4" xfId="4255" xr:uid="{516B5D92-003F-4D51-A8B7-2DC1166A5EEC}"/>
    <cellStyle name="40% - Accent5 2 2 5" xfId="4256" xr:uid="{105AD3B1-F884-4556-BAE3-86ECCA3F22F3}"/>
    <cellStyle name="40% - Accent5 2 2 6" xfId="4257" xr:uid="{E24D76C0-4F0F-4110-8B07-C4D8AB77DDE8}"/>
    <cellStyle name="40% - Accent5 2 3" xfId="466" xr:uid="{1EB11A50-328C-4F73-AB92-F1124D04A202}"/>
    <cellStyle name="40% - Accent5 2 3 2" xfId="4258" xr:uid="{7B5E023A-D939-4E40-9D76-58D1330AC78C}"/>
    <cellStyle name="40% - Accent5 2 3 2 2" xfId="4259" xr:uid="{82A1EB10-8329-44B2-B812-2BDFEDEFA212}"/>
    <cellStyle name="40% - Accent5 2 3 2_Exist Trunk Assets - Ferry" xfId="8556" xr:uid="{9791BB77-6083-4EA6-8804-6701955C0C8F}"/>
    <cellStyle name="40% - Accent5 2 3 3" xfId="4260" xr:uid="{71D6A310-F665-478D-8879-D73B347D8A20}"/>
    <cellStyle name="40% - Accent5 2 3 3 2" xfId="4261" xr:uid="{82E8ABFF-28D9-4836-951E-F42011579ADC}"/>
    <cellStyle name="40% - Accent5 2 3 3_Exist Trunk Assets - Ferry" xfId="8557" xr:uid="{2D475719-02E6-47C8-B43A-9333AE5D2B4E}"/>
    <cellStyle name="40% - Accent5 2 3 4" xfId="4262" xr:uid="{77F457AA-7A1C-4D6C-8AB3-115068C8AE22}"/>
    <cellStyle name="40% - Accent5 2 3_Exist Trunk Assets - Ferry" xfId="8555" xr:uid="{CF7A258D-A3A6-44BD-ABAF-667BDC8E4B08}"/>
    <cellStyle name="40% - Accent5 2 4" xfId="4263" xr:uid="{DB7A16CB-5F00-4710-B429-433DB53122BB}"/>
    <cellStyle name="40% - Accent5 2 4 2" xfId="4264" xr:uid="{ECD4F420-31C9-4F94-95E3-EB030241B768}"/>
    <cellStyle name="40% - Accent5 2 4_Exist Trunk Assets - Ferry" xfId="8558" xr:uid="{606B1B33-8115-4704-B496-7D94863E08AE}"/>
    <cellStyle name="40% - Accent5 2 5" xfId="4265" xr:uid="{D64FF5C3-53F2-4F00-93D5-A6E413E4FC87}"/>
    <cellStyle name="40% - Accent5 2 5 2" xfId="4266" xr:uid="{72C7C5D4-CAB0-446C-BC75-93008DF8CF2F}"/>
    <cellStyle name="40% - Accent5 2 5_Exist Trunk Assets - Ferry" xfId="8559" xr:uid="{A3FEA09B-BC13-4C71-BAB5-D48773802DBC}"/>
    <cellStyle name="40% - Accent5 2 6" xfId="4267" xr:uid="{B3758669-3CE9-40FD-93D3-F2C7C66467D8}"/>
    <cellStyle name="40% - Accent5 2 7" xfId="8135" xr:uid="{0203A7B0-CF05-4D56-9352-C3CFA529638F}"/>
    <cellStyle name="40% - Accent5 2_Exist Trunk Assets - Ferry" xfId="8551" xr:uid="{7F081E9F-12C3-491D-B479-EA850B4AC46C}"/>
    <cellStyle name="40% - Accent5 20" xfId="467" xr:uid="{CBB1135E-90F5-49DF-8457-F3648F8D103E}"/>
    <cellStyle name="40% - Accent5 20 2" xfId="4268" xr:uid="{1C7E393A-E9ED-404D-A06E-909656A943F3}"/>
    <cellStyle name="40% - Accent5 20 3" xfId="4269" xr:uid="{D24BE616-4235-4F5A-95EB-F83150A6F426}"/>
    <cellStyle name="40% - Accent5 20 4" xfId="4270" xr:uid="{56C37573-B596-4051-AE3A-F9C5AD5FD642}"/>
    <cellStyle name="40% - Accent5 21" xfId="468" xr:uid="{6982B664-D1DE-4824-8E25-934C4CB4A402}"/>
    <cellStyle name="40% - Accent5 21 2" xfId="4271" xr:uid="{34B78626-F929-4CF0-B129-F30830D71AD8}"/>
    <cellStyle name="40% - Accent5 21 3" xfId="4272" xr:uid="{1FCA2CE4-C9E6-4336-B0BC-07568A3570F7}"/>
    <cellStyle name="40% - Accent5 21 4" xfId="4273" xr:uid="{7E835B5B-E26C-4CFE-924C-D2C9AB7AB595}"/>
    <cellStyle name="40% - Accent5 22" xfId="469" xr:uid="{1BB24A44-6EB9-4DCE-A3CB-2FE0AA4F2631}"/>
    <cellStyle name="40% - Accent5 22 2" xfId="4274" xr:uid="{C8982950-BA1D-4A12-AE41-C66DD032A216}"/>
    <cellStyle name="40% - Accent5 22 3" xfId="4275" xr:uid="{20CC4463-6EF5-44A0-847E-1AA90424C5A8}"/>
    <cellStyle name="40% - Accent5 22 4" xfId="4276" xr:uid="{A871B5EF-E5AE-46A7-9EC6-9A9CDC6E5432}"/>
    <cellStyle name="40% - Accent5 23" xfId="470" xr:uid="{09556943-1383-4B79-96AF-DE02C83462BD}"/>
    <cellStyle name="40% - Accent5 23 2" xfId="4277" xr:uid="{9E90DBAA-69B6-4D96-82E9-6138AA2A4AFB}"/>
    <cellStyle name="40% - Accent5 23 3" xfId="4278" xr:uid="{D8D14677-09EB-4B53-872F-CF061D0160DD}"/>
    <cellStyle name="40% - Accent5 23 4" xfId="4279" xr:uid="{EA4D31F8-410E-4A82-BE5F-B1E9E1317685}"/>
    <cellStyle name="40% - Accent5 24" xfId="471" xr:uid="{87FBC48F-69F6-4160-B1A7-E219B2A52830}"/>
    <cellStyle name="40% - Accent5 24 2" xfId="4280" xr:uid="{F0CFC607-3EC0-4126-ACB7-71DFED278BEA}"/>
    <cellStyle name="40% - Accent5 24 3" xfId="4281" xr:uid="{2039812D-BA8D-4206-AD13-2C725FBE9401}"/>
    <cellStyle name="40% - Accent5 24 4" xfId="4282" xr:uid="{F8F324EF-D863-48A4-A455-F3C14074584F}"/>
    <cellStyle name="40% - Accent5 25" xfId="472" xr:uid="{DEC2A1AF-ADCD-48F4-A20A-188B3D2EE675}"/>
    <cellStyle name="40% - Accent5 25 2" xfId="4283" xr:uid="{93D791A6-B37D-40FC-ABE5-D0CF6C7BFC9F}"/>
    <cellStyle name="40% - Accent5 25 3" xfId="4284" xr:uid="{6A724951-5776-4F70-B1B0-BB4C3DD1F2A2}"/>
    <cellStyle name="40% - Accent5 25 4" xfId="4285" xr:uid="{C83335ED-34F4-44FC-B1E8-99FA6459A039}"/>
    <cellStyle name="40% - Accent5 26" xfId="473" xr:uid="{40034079-8382-41C4-A4EC-78553822340E}"/>
    <cellStyle name="40% - Accent5 26 2" xfId="4286" xr:uid="{9BE8541F-445E-4C35-9F5D-79FD2B8600EB}"/>
    <cellStyle name="40% - Accent5 26 3" xfId="4287" xr:uid="{A164222B-166D-46CC-A290-FC81E3C9247E}"/>
    <cellStyle name="40% - Accent5 26 4" xfId="4288" xr:uid="{D92446F4-AAEA-4403-9AD8-6AEC048BE49A}"/>
    <cellStyle name="40% - Accent5 27" xfId="474" xr:uid="{D97D2706-4172-4752-AAE7-9C30689BCC6D}"/>
    <cellStyle name="40% - Accent5 27 2" xfId="4289" xr:uid="{D9BCEB54-D6ED-458B-8CFC-9F5D068BF325}"/>
    <cellStyle name="40% - Accent5 27 3" xfId="4290" xr:uid="{2E291D3D-92FE-49D0-8731-83929CB31B33}"/>
    <cellStyle name="40% - Accent5 27 4" xfId="4291" xr:uid="{F38965C2-A7E3-43D0-BAC8-3040EE63CAF7}"/>
    <cellStyle name="40% - Accent5 28" xfId="475" xr:uid="{DB4E8F68-1C70-4975-A100-E96907F57B5E}"/>
    <cellStyle name="40% - Accent5 28 2" xfId="4292" xr:uid="{73DAAA90-5428-4C79-B1FB-0BF258E03A68}"/>
    <cellStyle name="40% - Accent5 28 3" xfId="4293" xr:uid="{78080DB6-51B0-45E5-8A2B-8C3675F96707}"/>
    <cellStyle name="40% - Accent5 28 4" xfId="4294" xr:uid="{34E2B464-BE83-4C17-9EFE-7634B3E0C0D8}"/>
    <cellStyle name="40% - Accent5 29" xfId="476" xr:uid="{04E4C0A5-3EF3-47DC-95C3-C8A55836080D}"/>
    <cellStyle name="40% - Accent5 29 2" xfId="4295" xr:uid="{7ADC7589-6709-45C8-B5A7-879F43D8006F}"/>
    <cellStyle name="40% - Accent5 29 3" xfId="4296" xr:uid="{C6A59815-2C5B-4E94-A30C-4D48347C0F3F}"/>
    <cellStyle name="40% - Accent5 29 4" xfId="4297" xr:uid="{8CE967EA-07F7-47F3-9605-49D89901A035}"/>
    <cellStyle name="40% - Accent5 3" xfId="477" xr:uid="{D9F98E7E-AD3E-4C37-9A9B-A885C31EFBB2}"/>
    <cellStyle name="40% - Accent5 3 2" xfId="478" xr:uid="{0D685B4B-7709-42F6-8B24-13D560D9FD5D}"/>
    <cellStyle name="40% - Accent5 3 2 2" xfId="4298" xr:uid="{6EBCF1A9-B2E2-4CC6-BA74-872A0F20F470}"/>
    <cellStyle name="40% - Accent5 3 2 2 2" xfId="4299" xr:uid="{F12562AD-EB2D-43BB-9020-8F6A0CDFE84A}"/>
    <cellStyle name="40% - Accent5 3 2 2_Exist Trunk Assets - Ferry" xfId="8562" xr:uid="{1DDF6A10-51E7-48D3-8D55-41A780BCFB29}"/>
    <cellStyle name="40% - Accent5 3 2 3" xfId="4300" xr:uid="{981EBE39-994E-4E43-968A-F912054F7F81}"/>
    <cellStyle name="40% - Accent5 3 2 3 2" xfId="4301" xr:uid="{E94A4EDD-2ED2-4C40-93E3-0D5D129DA033}"/>
    <cellStyle name="40% - Accent5 3 2 3_Exist Trunk Assets - Ferry" xfId="8563" xr:uid="{793805B1-DDED-472F-B293-FD907524D741}"/>
    <cellStyle name="40% - Accent5 3 2 4" xfId="4302" xr:uid="{8A46D081-4920-48DD-AE31-4FE94A26D6AA}"/>
    <cellStyle name="40% - Accent5 3 2_Exist Trunk Assets - Ferry" xfId="8561" xr:uid="{F6BA8983-DED1-44FE-AEE3-E033B0C2EDA0}"/>
    <cellStyle name="40% - Accent5 3 3" xfId="1863" xr:uid="{0B8F87D9-C22B-4C67-9697-BC54960EC1FB}"/>
    <cellStyle name="40% - Accent5 3 3 2" xfId="4303" xr:uid="{DB992CDB-021B-4495-A779-A2A6F3299669}"/>
    <cellStyle name="40% - Accent5 3 3 3" xfId="4304" xr:uid="{077C27BF-A5BA-41F6-81B6-E03929B94D32}"/>
    <cellStyle name="40% - Accent5 3 3 4" xfId="4305" xr:uid="{6CD8FB1C-2B33-4E21-A35E-1AE1B6D68C7D}"/>
    <cellStyle name="40% - Accent5 3 4" xfId="4306" xr:uid="{B8C1E1F9-DE87-4F7A-A006-A34F38080913}"/>
    <cellStyle name="40% - Accent5 3 4 2" xfId="4307" xr:uid="{0EB004D8-474F-489D-87F1-51C50AA7B0D6}"/>
    <cellStyle name="40% - Accent5 3 4_Exist Trunk Assets - Ferry" xfId="8564" xr:uid="{4D23DCEC-A1B7-422C-8389-3EFAD91B5A43}"/>
    <cellStyle name="40% - Accent5 3 5" xfId="4308" xr:uid="{FF30F820-9AE1-41BE-8F9B-1B735DB56341}"/>
    <cellStyle name="40% - Accent5 3 5 2" xfId="4309" xr:uid="{791BBACC-C168-414A-B3DF-AFAA376F5C2D}"/>
    <cellStyle name="40% - Accent5 3 5_Exist Trunk Assets - Ferry" xfId="8565" xr:uid="{EADF6AD9-B6C8-4FED-A4D5-D10ACD0F8018}"/>
    <cellStyle name="40% - Accent5 3 6" xfId="4310" xr:uid="{E4B40EE4-3299-4831-A4BC-260AC5725447}"/>
    <cellStyle name="40% - Accent5 3_Exist Trunk Assets - Ferry" xfId="8560" xr:uid="{FE5515B5-7BC2-41D4-A11F-C6F6B1419A8E}"/>
    <cellStyle name="40% - Accent5 30" xfId="479" xr:uid="{4BD3C9B9-AC1D-4F17-BF08-17186F559D3A}"/>
    <cellStyle name="40% - Accent5 30 2" xfId="4311" xr:uid="{0FA6AB7A-844D-44E4-A28A-25B90E5688E7}"/>
    <cellStyle name="40% - Accent5 30 3" xfId="4312" xr:uid="{DA81B6A7-A1C8-40CF-BDD7-A1DBAA2D3528}"/>
    <cellStyle name="40% - Accent5 30 4" xfId="4313" xr:uid="{0E540886-C336-4989-9EFD-F3A09597E093}"/>
    <cellStyle name="40% - Accent5 31" xfId="480" xr:uid="{D55F2757-77A3-4903-94DC-298D3819F69F}"/>
    <cellStyle name="40% - Accent5 31 2" xfId="4314" xr:uid="{9B1EA094-C580-4D4F-B448-C61F4B8C0FC6}"/>
    <cellStyle name="40% - Accent5 31 3" xfId="4315" xr:uid="{8128B21F-96BF-4214-A81E-631FC6EF529F}"/>
    <cellStyle name="40% - Accent5 31 4" xfId="4316" xr:uid="{65D1FA0D-571D-441B-9270-BDE62DC5DD40}"/>
    <cellStyle name="40% - Accent5 32" xfId="481" xr:uid="{3F10A9FA-8E2A-4564-87B6-9EB79A35E08A}"/>
    <cellStyle name="40% - Accent5 32 2" xfId="4317" xr:uid="{8388DD77-6B81-4834-80B5-7DA4A0D9E281}"/>
    <cellStyle name="40% - Accent5 32 3" xfId="4318" xr:uid="{E660434F-45A4-4A76-A9D9-A6BED580816C}"/>
    <cellStyle name="40% - Accent5 32 4" xfId="4319" xr:uid="{ABCC3CE4-B01D-4E3D-8765-6BE8AD0C28AE}"/>
    <cellStyle name="40% - Accent5 33" xfId="482" xr:uid="{7A7A6209-2716-4299-B349-DAD09E5F21BE}"/>
    <cellStyle name="40% - Accent5 33 2" xfId="4320" xr:uid="{B44EB8ED-EBEC-4310-AA6D-AB318726AF98}"/>
    <cellStyle name="40% - Accent5 33 3" xfId="4321" xr:uid="{FB0A9AB8-E3E2-4E21-B510-90700E2D31B6}"/>
    <cellStyle name="40% - Accent5 33 4" xfId="4322" xr:uid="{74C6FE00-DA9C-4BE0-9B2B-CF1D56A31157}"/>
    <cellStyle name="40% - Accent5 34" xfId="483" xr:uid="{BFA772D4-0BC4-4761-97D2-AC85A0C39A27}"/>
    <cellStyle name="40% - Accent5 34 2" xfId="4323" xr:uid="{E6ECA7E7-2CA0-49AB-BA8D-E712CE43376E}"/>
    <cellStyle name="40% - Accent5 34 3" xfId="4324" xr:uid="{EBB5DFFA-0D0C-4670-8F0B-EAE0B05D2A8C}"/>
    <cellStyle name="40% - Accent5 34 4" xfId="4325" xr:uid="{324F86A3-6433-4D3D-9B50-A31BF3490455}"/>
    <cellStyle name="40% - Accent5 35" xfId="484" xr:uid="{6278D783-AF05-4114-81AB-A81C29BC0553}"/>
    <cellStyle name="40% - Accent5 35 2" xfId="4326" xr:uid="{19FF7287-7654-42BA-9E4E-20B103F8A9F8}"/>
    <cellStyle name="40% - Accent5 35 3" xfId="4327" xr:uid="{83E667D2-A959-44F0-80C9-EA8516C51BAD}"/>
    <cellStyle name="40% - Accent5 35 4" xfId="4328" xr:uid="{4A38F8E9-3257-4C3C-BE31-A98338BF2DBC}"/>
    <cellStyle name="40% - Accent5 36" xfId="485" xr:uid="{12295471-2A14-4972-9677-90677454D14C}"/>
    <cellStyle name="40% - Accent5 36 2" xfId="4329" xr:uid="{41EA69B3-0BFF-4D71-AE00-63DDD585E946}"/>
    <cellStyle name="40% - Accent5 36 3" xfId="4330" xr:uid="{F7C3D783-28B4-4179-8B99-E7A3FE360A36}"/>
    <cellStyle name="40% - Accent5 36 4" xfId="4331" xr:uid="{6F92A291-F5AC-4F10-AE60-4188A9E7C7A8}"/>
    <cellStyle name="40% - Accent5 37" xfId="486" xr:uid="{852BE10E-B915-411A-B4BB-29B4BCC66BE7}"/>
    <cellStyle name="40% - Accent5 37 2" xfId="4332" xr:uid="{ADBFFD71-85D0-4E9E-8CD1-EA5F77D122C9}"/>
    <cellStyle name="40% - Accent5 37 3" xfId="4333" xr:uid="{98E17B1A-D1D8-4589-AB02-21CAC7645C9A}"/>
    <cellStyle name="40% - Accent5 37 4" xfId="4334" xr:uid="{0F08B3B1-417D-4AF3-BEA7-98666F2F5AA8}"/>
    <cellStyle name="40% - Accent5 38" xfId="487" xr:uid="{043170B6-03F6-4419-B973-8B35D03296C0}"/>
    <cellStyle name="40% - Accent5 38 2" xfId="4335" xr:uid="{1C151295-49B0-47B2-A9D5-8A5D3112DBCA}"/>
    <cellStyle name="40% - Accent5 38 3" xfId="4336" xr:uid="{4A14A228-02EA-4505-9D4C-88DE5CFCF5E1}"/>
    <cellStyle name="40% - Accent5 38 4" xfId="4337" xr:uid="{7C1BE838-C954-4E94-AAF6-AB49F3100E26}"/>
    <cellStyle name="40% - Accent5 39" xfId="488" xr:uid="{18F418F1-E555-432D-A2B3-CA25D05A50D6}"/>
    <cellStyle name="40% - Accent5 39 2" xfId="4338" xr:uid="{12623026-A6E2-47CA-8683-D95EEA12B1C1}"/>
    <cellStyle name="40% - Accent5 39 3" xfId="4339" xr:uid="{1C566F7B-35CE-4314-A7C8-35FC1500ABEB}"/>
    <cellStyle name="40% - Accent5 39 4" xfId="4340" xr:uid="{6779558E-098C-435B-A13E-C3AF806000A8}"/>
    <cellStyle name="40% - Accent5 4" xfId="489" xr:uid="{8118F85E-FBA0-446F-B7CA-F5DD9051CB24}"/>
    <cellStyle name="40% - Accent5 4 2" xfId="490" xr:uid="{68FD0731-3AED-4399-A05A-64FA2D7C7600}"/>
    <cellStyle name="40% - Accent5 4 2 2" xfId="4341" xr:uid="{6C34B6D2-D974-4845-8710-D47F2C03FF82}"/>
    <cellStyle name="40% - Accent5 4 2 2 2" xfId="4342" xr:uid="{DA9BD594-6C82-4988-AE72-B80B0599B47E}"/>
    <cellStyle name="40% - Accent5 4 2 2_Exist Trunk Assets - Ferry" xfId="8568" xr:uid="{EDE3FBFF-34BE-40C0-A5AF-8FC39C5A5BAF}"/>
    <cellStyle name="40% - Accent5 4 2 3" xfId="4343" xr:uid="{D4FA9E14-25CB-41B7-B365-EAC98C4115ED}"/>
    <cellStyle name="40% - Accent5 4 2 3 2" xfId="4344" xr:uid="{4BFA2FB4-8497-4B4F-89CF-212EA5FA0971}"/>
    <cellStyle name="40% - Accent5 4 2 3_Exist Trunk Assets - Ferry" xfId="8569" xr:uid="{5543287D-A857-4147-8F27-2051BD61A533}"/>
    <cellStyle name="40% - Accent5 4 2 4" xfId="4345" xr:uid="{A7E4BFC3-9255-49F8-BB16-CD03746A95FD}"/>
    <cellStyle name="40% - Accent5 4 2_Exist Trunk Assets - Ferry" xfId="8567" xr:uid="{4DD03A6A-CE4F-42BB-AFE5-DA8F78059AB3}"/>
    <cellStyle name="40% - Accent5 4 3" xfId="1864" xr:uid="{4312F88F-3497-47A9-AD80-68327997D76E}"/>
    <cellStyle name="40% - Accent5 4 3 2" xfId="4346" xr:uid="{6003DC23-6FB0-4778-A350-0ADA26F8F1BB}"/>
    <cellStyle name="40% - Accent5 4 3 3" xfId="4347" xr:uid="{0C493F75-F59D-44A9-A031-B338C2E85F65}"/>
    <cellStyle name="40% - Accent5 4 3 4" xfId="4348" xr:uid="{06CF6580-3F91-4368-94AA-9248F363224A}"/>
    <cellStyle name="40% - Accent5 4 4" xfId="4349" xr:uid="{BCC81568-4612-4328-864E-4BD541BC0448}"/>
    <cellStyle name="40% - Accent5 4 4 2" xfId="4350" xr:uid="{BD194CF2-AF8E-45F0-813B-60D18998989F}"/>
    <cellStyle name="40% - Accent5 4 4_Exist Trunk Assets - Ferry" xfId="8570" xr:uid="{75B4C895-7377-4661-96AD-B573500AFEBD}"/>
    <cellStyle name="40% - Accent5 4 5" xfId="4351" xr:uid="{A1DE92E3-4163-426E-9E46-0324E9DBC2E7}"/>
    <cellStyle name="40% - Accent5 4 5 2" xfId="4352" xr:uid="{375C57AD-4EA8-4907-AC79-417937C41ACD}"/>
    <cellStyle name="40% - Accent5 4 5_Exist Trunk Assets - Ferry" xfId="8571" xr:uid="{5028FB1E-52AF-4344-AD07-A669BB958E8F}"/>
    <cellStyle name="40% - Accent5 4 6" xfId="4353" xr:uid="{E125E57C-70C0-4547-9E1B-5AD993CFE93B}"/>
    <cellStyle name="40% - Accent5 4_Exist Trunk Assets - Ferry" xfId="8566" xr:uid="{29E10B39-CA0D-4CBF-8E82-0F9865C92721}"/>
    <cellStyle name="40% - Accent5 40" xfId="491" xr:uid="{2A19BCE6-8A88-4C80-ACEF-A53582020277}"/>
    <cellStyle name="40% - Accent5 40 2" xfId="4354" xr:uid="{347DF968-3F0E-4EA7-BCAF-D870EFE6DACB}"/>
    <cellStyle name="40% - Accent5 40 3" xfId="4355" xr:uid="{915CA6BD-03F0-4517-AF49-93A5E398AC38}"/>
    <cellStyle name="40% - Accent5 40 4" xfId="4356" xr:uid="{FF9CD230-C865-404C-AC20-112FFA480DE1}"/>
    <cellStyle name="40% - Accent5 5" xfId="492" xr:uid="{DFAC525D-16F5-43D9-A55E-B7F029709F1D}"/>
    <cellStyle name="40% - Accent5 5 2" xfId="1862" xr:uid="{B99E7C04-89E4-4C83-AF2D-2758FBCC5C12}"/>
    <cellStyle name="40% - Accent5 5 2 2" xfId="2397" xr:uid="{56E16514-D3EE-4440-B023-5FA28A0DC701}"/>
    <cellStyle name="40% - Accent5 5 2 2 2" xfId="4357" xr:uid="{6E607A9D-0C0E-40A1-9156-16D2FBEB86EB}"/>
    <cellStyle name="40% - Accent5 5 2 2 2 2" xfId="4358" xr:uid="{7F765349-A813-444C-855A-5152C7B4E71B}"/>
    <cellStyle name="40% - Accent5 5 2 2 2_Exist Trunk Assets - Ferry" xfId="8574" xr:uid="{66C44B01-082C-49BC-8A98-427B18D99CE5}"/>
    <cellStyle name="40% - Accent5 5 2 2 3" xfId="4359" xr:uid="{6FFA49F1-C20A-4DDA-81DC-B0759547D487}"/>
    <cellStyle name="40% - Accent5 5 2 2 3 2" xfId="4360" xr:uid="{B6DF471E-FD69-478D-BF82-390A35BAD80A}"/>
    <cellStyle name="40% - Accent5 5 2 2 3_Exist Trunk Assets - Ferry" xfId="8575" xr:uid="{A9946B96-F6FE-4820-925A-DD051D66E535}"/>
    <cellStyle name="40% - Accent5 5 2 2 4" xfId="4361" xr:uid="{8D154EF8-6FFE-4ACF-B065-641B251C0276}"/>
    <cellStyle name="40% - Accent5 5 2 2_Exist Trunk Assets - Ferry" xfId="8573" xr:uid="{48F95F40-4F5C-43A7-9787-030603E264C2}"/>
    <cellStyle name="40% - Accent5 5 2 3" xfId="4362" xr:uid="{B2A3F4FC-BA3E-4239-BA13-73BB8C50BA8F}"/>
    <cellStyle name="40% - Accent5 5 2 4" xfId="4363" xr:uid="{0172B132-66E6-413B-85C2-7F008C3DD6D8}"/>
    <cellStyle name="40% - Accent5 5 2 5" xfId="4364" xr:uid="{08CEEED7-F74B-4BEC-AC01-585D40A5BD01}"/>
    <cellStyle name="40% - Accent5 5 3" xfId="4365" xr:uid="{A00F5FF1-8134-4E78-A6EE-60C65089B18C}"/>
    <cellStyle name="40% - Accent5 5 3 2" xfId="4366" xr:uid="{43594FCD-4BDE-4A73-B4A8-E8B74ADFFACB}"/>
    <cellStyle name="40% - Accent5 5 3_Exist Trunk Assets - Ferry" xfId="8576" xr:uid="{D17FBD61-C1F5-436F-AD75-55C5259F4EFC}"/>
    <cellStyle name="40% - Accent5 5 4" xfId="4367" xr:uid="{5A81E781-0221-4B21-A6A5-11364D8377F3}"/>
    <cellStyle name="40% - Accent5 5 4 2" xfId="4368" xr:uid="{3DEE5D17-B0E5-42B6-AFAB-CF9BFADAC546}"/>
    <cellStyle name="40% - Accent5 5 4_Exist Trunk Assets - Ferry" xfId="8577" xr:uid="{EE32459F-6FB5-485C-BA32-906A0BE538A9}"/>
    <cellStyle name="40% - Accent5 5 5" xfId="4369" xr:uid="{0EDF5A16-5A92-45C7-BD3D-C0E2584CB0FC}"/>
    <cellStyle name="40% - Accent5 5_Exist Trunk Assets - Ferry" xfId="8572" xr:uid="{5303E77E-49C7-4FB3-81D5-08F90A303104}"/>
    <cellStyle name="40% - Accent5 6" xfId="493" xr:uid="{CE5D3FFA-BC34-40EA-A232-C104F607E13E}"/>
    <cellStyle name="40% - Accent5 6 2" xfId="4370" xr:uid="{17F2F1A3-8F1E-45EA-AEA8-2531E087B01D}"/>
    <cellStyle name="40% - Accent5 6 3" xfId="4371" xr:uid="{8C4F9DD5-182A-4D77-A6E9-6592B7695970}"/>
    <cellStyle name="40% - Accent5 6 4" xfId="4372" xr:uid="{9EE38048-887E-42B7-BBD7-96A3A8DE78A8}"/>
    <cellStyle name="40% - Accent5 7" xfId="494" xr:uid="{BB61F4E3-7CC9-45E4-B952-14FF9CE9C4D8}"/>
    <cellStyle name="40% - Accent5 7 2" xfId="4373" xr:uid="{B4A5B3BA-DE17-4FD8-B807-20409DF237CE}"/>
    <cellStyle name="40% - Accent5 7 3" xfId="4374" xr:uid="{5E484385-8BE8-4BB5-8375-A99AFBA868DA}"/>
    <cellStyle name="40% - Accent5 7 4" xfId="4375" xr:uid="{80CBC507-5844-4F2E-B46F-E696A1EAC7A4}"/>
    <cellStyle name="40% - Accent5 8" xfId="495" xr:uid="{69B8127E-ED3E-4FE3-AC7C-BC9BD9D225EA}"/>
    <cellStyle name="40% - Accent5 8 2" xfId="4376" xr:uid="{FD425047-13C3-4361-91F9-F2DFD43B3B9D}"/>
    <cellStyle name="40% - Accent5 8 3" xfId="4377" xr:uid="{6C5CF535-A9F5-4BE3-BF38-A6E5F08871B2}"/>
    <cellStyle name="40% - Accent5 8 4" xfId="4378" xr:uid="{467ABA1D-03AF-4A72-861A-C84D0B852159}"/>
    <cellStyle name="40% - Accent5 9" xfId="496" xr:uid="{7E7A7FBE-FAE4-4F1E-B67C-0F3384669CE4}"/>
    <cellStyle name="40% - Accent5 9 2" xfId="4379" xr:uid="{AACF198C-4C42-4AD1-809C-0E7E10566085}"/>
    <cellStyle name="40% - Accent5 9 3" xfId="4380" xr:uid="{3C0F26C5-E1B5-4743-858F-F7F60DE663F4}"/>
    <cellStyle name="40% - Accent5 9 4" xfId="4381" xr:uid="{993353A5-8166-44EF-B488-C5A4087E490D}"/>
    <cellStyle name="40% - Accent6 10" xfId="497" xr:uid="{E889048F-3E10-4721-A92A-A55A32DDBC43}"/>
    <cellStyle name="40% - Accent6 10 2" xfId="4382" xr:uid="{8C187D9C-2E46-47CF-B326-41D7FA30E03E}"/>
    <cellStyle name="40% - Accent6 10 3" xfId="4383" xr:uid="{1984D2F9-F4D0-4209-95DA-8C0739F18F57}"/>
    <cellStyle name="40% - Accent6 10 4" xfId="4384" xr:uid="{05268F21-1931-40BD-B28D-BF062B9ED5A2}"/>
    <cellStyle name="40% - Accent6 11" xfId="498" xr:uid="{C5E05D39-1E68-409B-8D85-07CB0E87F74C}"/>
    <cellStyle name="40% - Accent6 11 2" xfId="4385" xr:uid="{0B463F92-DC07-404D-AB84-F088FB884F4C}"/>
    <cellStyle name="40% - Accent6 11 3" xfId="4386" xr:uid="{98E55402-E1CC-4E45-9098-4AFA7B2E7EE9}"/>
    <cellStyle name="40% - Accent6 11 4" xfId="4387" xr:uid="{5B5465FF-F96F-4BA1-B137-7B95A8162AA0}"/>
    <cellStyle name="40% - Accent6 12" xfId="499" xr:uid="{8B98F3E5-059A-4B38-98FD-383069CA0970}"/>
    <cellStyle name="40% - Accent6 12 2" xfId="4388" xr:uid="{C984178D-6A74-42A0-B7D8-4D6DF26FE451}"/>
    <cellStyle name="40% - Accent6 12 3" xfId="4389" xr:uid="{0E812FDD-DF5D-4385-A56C-D3F57D16D09E}"/>
    <cellStyle name="40% - Accent6 12 4" xfId="4390" xr:uid="{6E896CC9-BFDB-494E-96CE-F85422706A2B}"/>
    <cellStyle name="40% - Accent6 13" xfId="500" xr:uid="{855AB5F7-3C71-4052-AA7E-B8B9B22569A3}"/>
    <cellStyle name="40% - Accent6 13 2" xfId="4391" xr:uid="{75704455-7711-4F84-A720-383921C39202}"/>
    <cellStyle name="40% - Accent6 13 3" xfId="4392" xr:uid="{73E28EC4-6CA9-40A5-844A-ACB7CA78323C}"/>
    <cellStyle name="40% - Accent6 13 4" xfId="4393" xr:uid="{90C8B1B5-85C5-4D32-A797-B1D19875DBC4}"/>
    <cellStyle name="40% - Accent6 14" xfId="501" xr:uid="{3D303E3A-188D-4D00-B430-97A77F4F9024}"/>
    <cellStyle name="40% - Accent6 14 2" xfId="4394" xr:uid="{B9935DB7-C4A1-43DC-8282-3BF33EC695A0}"/>
    <cellStyle name="40% - Accent6 14 3" xfId="4395" xr:uid="{28946D24-09F8-4379-9128-2DD2C505A032}"/>
    <cellStyle name="40% - Accent6 14 4" xfId="4396" xr:uid="{03CEEE48-9FAB-4629-A7E4-5ED3E1CC86B9}"/>
    <cellStyle name="40% - Accent6 15" xfId="502" xr:uid="{9957E5E5-BA45-48C0-BE7B-0C276382FFE0}"/>
    <cellStyle name="40% - Accent6 15 2" xfId="4397" xr:uid="{82D94902-2F7B-43A8-8478-478E2A30E794}"/>
    <cellStyle name="40% - Accent6 15 3" xfId="4398" xr:uid="{C3E1C8A8-E016-4C57-BDB4-AC0142381DD0}"/>
    <cellStyle name="40% - Accent6 15 4" xfId="4399" xr:uid="{50B331D3-CBA4-46D7-83FB-F9ACDDA98F54}"/>
    <cellStyle name="40% - Accent6 16" xfId="503" xr:uid="{DB3B8949-1B67-45ED-A242-1D82D36C7F25}"/>
    <cellStyle name="40% - Accent6 16 2" xfId="4400" xr:uid="{4FB34D20-9C74-4CF5-A200-A8A4F24CC571}"/>
    <cellStyle name="40% - Accent6 16 3" xfId="4401" xr:uid="{A12FF832-D4EC-496D-84DD-C8B00EF7F6E2}"/>
    <cellStyle name="40% - Accent6 16 4" xfId="4402" xr:uid="{E51645D5-E623-4F72-8785-8496CE2B3545}"/>
    <cellStyle name="40% - Accent6 17" xfId="504" xr:uid="{105D24AB-D25A-43D9-AC14-967A1F1259F5}"/>
    <cellStyle name="40% - Accent6 17 2" xfId="4403" xr:uid="{DDAE96F5-D25F-41DB-987D-E9938B7CE9CA}"/>
    <cellStyle name="40% - Accent6 17 3" xfId="4404" xr:uid="{55AC457B-8F0A-4E06-8522-67C08CDBC995}"/>
    <cellStyle name="40% - Accent6 17 4" xfId="4405" xr:uid="{74FDA167-3574-4985-A328-AD008B4FE91A}"/>
    <cellStyle name="40% - Accent6 18" xfId="505" xr:uid="{82870A33-021B-42DA-A188-0B37C377CFB5}"/>
    <cellStyle name="40% - Accent6 18 2" xfId="4406" xr:uid="{3F4326B1-C1B6-41D7-962C-F9B91EA45FE4}"/>
    <cellStyle name="40% - Accent6 18 3" xfId="4407" xr:uid="{0D59E17B-CB35-4982-951D-B0F8747A5DF1}"/>
    <cellStyle name="40% - Accent6 18 4" xfId="4408" xr:uid="{9F439F2E-26C8-45EA-A113-4C693FD78091}"/>
    <cellStyle name="40% - Accent6 19" xfId="506" xr:uid="{E789CCE9-57CF-4479-B43F-C11C934FB5D1}"/>
    <cellStyle name="40% - Accent6 19 2" xfId="4409" xr:uid="{92834A88-38B0-41EA-A353-1F80E5F61900}"/>
    <cellStyle name="40% - Accent6 19 3" xfId="4410" xr:uid="{DF69C008-7AC7-4A48-A7AE-1AB839802E9C}"/>
    <cellStyle name="40% - Accent6 19 4" xfId="4411" xr:uid="{CEE7BA14-A10C-48C6-87F8-E9D18BD1D8C0}"/>
    <cellStyle name="40% - Accent6 2" xfId="507" xr:uid="{1298AD49-E577-4838-815B-7D67265D9EBA}"/>
    <cellStyle name="40% - Accent6 2 2" xfId="508" xr:uid="{9BEE8238-C61F-4960-9531-1270E702FA52}"/>
    <cellStyle name="40% - Accent6 2 2 2" xfId="2399" xr:uid="{37CE5B38-6FA1-4E5B-B7E4-593ACB5E6290}"/>
    <cellStyle name="40% - Accent6 2 2 2 2" xfId="4412" xr:uid="{E67EC4DB-53B6-45AF-B679-3D5D2D026B75}"/>
    <cellStyle name="40% - Accent6 2 2 2 3" xfId="4413" xr:uid="{A6A6C8AB-FA7C-430C-8B8A-DE50A73418E4}"/>
    <cellStyle name="40% - Accent6 2 2 2 4" xfId="4414" xr:uid="{2B5E9E7D-59A4-427F-A548-A63E0F8DE7B1}"/>
    <cellStyle name="40% - Accent6 2 2 3" xfId="2398" xr:uid="{98277837-421B-49C4-9FBE-3E1432A4C458}"/>
    <cellStyle name="40% - Accent6 2 2 3 2" xfId="4415" xr:uid="{65BF2DE2-E498-4005-9403-0500980E49F9}"/>
    <cellStyle name="40% - Accent6 2 2 3 2 2" xfId="4416" xr:uid="{2BF853C9-4B81-4153-85E5-D2C873DDB395}"/>
    <cellStyle name="40% - Accent6 2 2 3 2_Exist Trunk Assets - Ferry" xfId="8580" xr:uid="{434515A9-9ABB-4E25-A3E9-8BE770338A3C}"/>
    <cellStyle name="40% - Accent6 2 2 3 3" xfId="4417" xr:uid="{960D38AF-C39F-4591-85F7-8A262B73CE22}"/>
    <cellStyle name="40% - Accent6 2 2 3 3 2" xfId="4418" xr:uid="{CACB2840-FB9C-48E7-A6A8-A8D8ACDCB78B}"/>
    <cellStyle name="40% - Accent6 2 2 3 3_Exist Trunk Assets - Ferry" xfId="8581" xr:uid="{F465AF89-10CA-4A6B-8DE5-5C1B9D9C37FF}"/>
    <cellStyle name="40% - Accent6 2 2 3 4" xfId="4419" xr:uid="{040E3C42-7BF6-4FD5-9E08-92E36FA27802}"/>
    <cellStyle name="40% - Accent6 2 2 3_Exist Trunk Assets - Ferry" xfId="8579" xr:uid="{B1152ED6-56B8-4BF2-B21C-24432815601D}"/>
    <cellStyle name="40% - Accent6 2 2 4" xfId="4420" xr:uid="{00950AF0-A514-4715-BB35-7975E169F26B}"/>
    <cellStyle name="40% - Accent6 2 2 5" xfId="4421" xr:uid="{42B7FB39-8916-4D3B-B0BE-65B51FEC8819}"/>
    <cellStyle name="40% - Accent6 2 2 6" xfId="4422" xr:uid="{5ECA7B32-22F8-4B15-B671-D61B5C2179BE}"/>
    <cellStyle name="40% - Accent6 2 3" xfId="509" xr:uid="{B1567A29-334C-436F-B408-C6DB8CA8320B}"/>
    <cellStyle name="40% - Accent6 2 3 2" xfId="4423" xr:uid="{BB8BF746-EF16-4EF1-AC51-7BB89EF1B2A8}"/>
    <cellStyle name="40% - Accent6 2 3 2 2" xfId="4424" xr:uid="{F7BF2C03-5520-43E4-A04E-17C64B6902F6}"/>
    <cellStyle name="40% - Accent6 2 3 2_Exist Trunk Assets - Ferry" xfId="8583" xr:uid="{266CD3E8-123F-4A00-B22C-9C90F29C4E9E}"/>
    <cellStyle name="40% - Accent6 2 3 3" xfId="4425" xr:uid="{1C9AA330-6CE8-4C48-B80D-564D9BEBD543}"/>
    <cellStyle name="40% - Accent6 2 3 3 2" xfId="4426" xr:uid="{D9A0DB42-4549-4AC1-9C20-15E636A5FC07}"/>
    <cellStyle name="40% - Accent6 2 3 3_Exist Trunk Assets - Ferry" xfId="8584" xr:uid="{6F08F5E9-7858-4EFD-9666-E6CEEDF0B70A}"/>
    <cellStyle name="40% - Accent6 2 3 4" xfId="4427" xr:uid="{BAB5837E-97E7-4CD0-844C-A6E17255E33E}"/>
    <cellStyle name="40% - Accent6 2 3_Exist Trunk Assets - Ferry" xfId="8582" xr:uid="{3DCA36D7-BC99-46D3-9816-D36E79360265}"/>
    <cellStyle name="40% - Accent6 2 4" xfId="4428" xr:uid="{E3A3AA3B-6E4C-408C-86DF-FE846C77DA14}"/>
    <cellStyle name="40% - Accent6 2 4 2" xfId="4429" xr:uid="{332B3940-DA34-4471-9E0A-4B768BEDA396}"/>
    <cellStyle name="40% - Accent6 2 4_Exist Trunk Assets - Ferry" xfId="8585" xr:uid="{9874CDC6-D2B8-4331-8B60-A67EAD9C8460}"/>
    <cellStyle name="40% - Accent6 2 5" xfId="4430" xr:uid="{42C31969-43B6-4DBB-96B0-E816FECF89B0}"/>
    <cellStyle name="40% - Accent6 2 5 2" xfId="4431" xr:uid="{FD72592A-2A79-4A36-921F-0313C7FEA615}"/>
    <cellStyle name="40% - Accent6 2 5_Exist Trunk Assets - Ferry" xfId="8586" xr:uid="{DBDF1180-1A29-4233-982B-17C72CCBB3F0}"/>
    <cellStyle name="40% - Accent6 2 6" xfId="4432" xr:uid="{D75EECAA-2178-4657-992B-F84438C57AAC}"/>
    <cellStyle name="40% - Accent6 2 7" xfId="8136" xr:uid="{77EB00D6-5B7E-47D6-9EA8-4AC05351D0C0}"/>
    <cellStyle name="40% - Accent6 2_Exist Trunk Assets - Ferry" xfId="8578" xr:uid="{B79A7154-56CF-478A-BEF0-2007517DA1A1}"/>
    <cellStyle name="40% - Accent6 20" xfId="510" xr:uid="{BC2D4302-1C61-4D1D-8D64-92C2CF27F724}"/>
    <cellStyle name="40% - Accent6 20 2" xfId="4433" xr:uid="{B5D45B5C-8E98-45E0-9C33-09D746DC8782}"/>
    <cellStyle name="40% - Accent6 20 3" xfId="4434" xr:uid="{E340956B-F72A-4CF7-BA94-157475C82B69}"/>
    <cellStyle name="40% - Accent6 20 4" xfId="4435" xr:uid="{9C6D3B5B-751B-4067-90D4-21B050ED75D9}"/>
    <cellStyle name="40% - Accent6 21" xfId="511" xr:uid="{ADDD04EB-45CB-4146-9BB3-7F02A90D2DD8}"/>
    <cellStyle name="40% - Accent6 21 2" xfId="4436" xr:uid="{04837B0A-86A1-46A0-9C38-D182DE6E0E99}"/>
    <cellStyle name="40% - Accent6 21 3" xfId="4437" xr:uid="{8E16D477-5DBE-4964-BD3A-ED19EA0802EF}"/>
    <cellStyle name="40% - Accent6 21 4" xfId="4438" xr:uid="{80BAC027-A24C-4625-AF2A-9289DC7723BA}"/>
    <cellStyle name="40% - Accent6 22" xfId="512" xr:uid="{B1B91859-E61C-45D3-A603-A2CEC460EABE}"/>
    <cellStyle name="40% - Accent6 22 2" xfId="4439" xr:uid="{F73EA779-5F6E-4E06-8999-8687AECB6865}"/>
    <cellStyle name="40% - Accent6 22 3" xfId="4440" xr:uid="{343D6B7A-E694-40D5-9659-CC27E05DD01B}"/>
    <cellStyle name="40% - Accent6 22 4" xfId="4441" xr:uid="{6931453E-92B9-4A59-A1B4-F618A1DDC152}"/>
    <cellStyle name="40% - Accent6 23" xfId="513" xr:uid="{9CE97153-52A5-412B-AE4D-F86DF5E1B2D1}"/>
    <cellStyle name="40% - Accent6 23 2" xfId="4442" xr:uid="{3779F5FC-BF82-4711-B843-11736B0B4CF0}"/>
    <cellStyle name="40% - Accent6 23 3" xfId="4443" xr:uid="{3D0D3C9C-6F9F-4807-867D-8B5865E7DDD6}"/>
    <cellStyle name="40% - Accent6 23 4" xfId="4444" xr:uid="{D8BBB1A5-779A-411D-9195-733FD193373A}"/>
    <cellStyle name="40% - Accent6 24" xfId="514" xr:uid="{F257354C-E9D8-4802-A8B9-1F900B8B752B}"/>
    <cellStyle name="40% - Accent6 24 2" xfId="4445" xr:uid="{C81D745D-5E56-41A7-B0A1-28A1672FAC41}"/>
    <cellStyle name="40% - Accent6 24 3" xfId="4446" xr:uid="{9DEBCEEA-B6E9-4866-81DE-3167CA63C1E0}"/>
    <cellStyle name="40% - Accent6 24 4" xfId="4447" xr:uid="{D4479511-D574-44AE-BC8F-C8D41788DB14}"/>
    <cellStyle name="40% - Accent6 25" xfId="515" xr:uid="{7A2CBBF2-C49E-4246-A421-F1CE38181E4C}"/>
    <cellStyle name="40% - Accent6 25 2" xfId="4448" xr:uid="{8FA4238F-4200-414E-B494-9C936FAE56AC}"/>
    <cellStyle name="40% - Accent6 25 3" xfId="4449" xr:uid="{5C3162B1-5216-4B09-8241-394EFD7BF259}"/>
    <cellStyle name="40% - Accent6 25 4" xfId="4450" xr:uid="{298BF611-8973-451C-AC26-2E8748D30DD6}"/>
    <cellStyle name="40% - Accent6 26" xfId="516" xr:uid="{12488D39-3896-4340-B665-580F6A053943}"/>
    <cellStyle name="40% - Accent6 26 2" xfId="4451" xr:uid="{4B472B16-DEFA-44E0-AD97-F3DA34777144}"/>
    <cellStyle name="40% - Accent6 26 3" xfId="4452" xr:uid="{595BAC1E-6235-4932-8320-3152C41DEFE4}"/>
    <cellStyle name="40% - Accent6 26 4" xfId="4453" xr:uid="{BBF83283-17A3-4132-8DE8-02186A275479}"/>
    <cellStyle name="40% - Accent6 27" xfId="517" xr:uid="{F5A2DE79-0F46-47E8-A708-FACD3F6F3FB3}"/>
    <cellStyle name="40% - Accent6 27 2" xfId="4454" xr:uid="{6933A1A1-EAC8-4085-A019-9D129CCF4E0A}"/>
    <cellStyle name="40% - Accent6 27 3" xfId="4455" xr:uid="{40C3D063-7190-4093-8C5C-BF5AC65B54AF}"/>
    <cellStyle name="40% - Accent6 27 4" xfId="4456" xr:uid="{68F4D74C-C318-4349-A3F7-2596CEB8C628}"/>
    <cellStyle name="40% - Accent6 28" xfId="518" xr:uid="{EAA0FEE5-E616-414B-BE31-7F3092A38E4C}"/>
    <cellStyle name="40% - Accent6 28 2" xfId="4457" xr:uid="{AF199C7C-F84F-4C42-B926-2BEA45E6F4F6}"/>
    <cellStyle name="40% - Accent6 28 3" xfId="4458" xr:uid="{91B8160D-6CCD-40F8-9AA6-D5F93E703AED}"/>
    <cellStyle name="40% - Accent6 28 4" xfId="4459" xr:uid="{AEC01DA4-AA09-4F43-ADCC-18EDFD3628CC}"/>
    <cellStyle name="40% - Accent6 29" xfId="519" xr:uid="{B04068AA-D252-4B84-9220-8FE5FADD181F}"/>
    <cellStyle name="40% - Accent6 29 2" xfId="4460" xr:uid="{5D1A8EF9-8AC1-4A34-BC89-8F4B8D27489C}"/>
    <cellStyle name="40% - Accent6 29 3" xfId="4461" xr:uid="{918AF007-2913-464E-805F-9F3BD0CCB04D}"/>
    <cellStyle name="40% - Accent6 29 4" xfId="4462" xr:uid="{6E261084-8844-4F61-B568-710FE6045B35}"/>
    <cellStyle name="40% - Accent6 3" xfId="520" xr:uid="{9274E7C4-544D-46D6-B861-1A17BDA6F895}"/>
    <cellStyle name="40% - Accent6 3 2" xfId="521" xr:uid="{A663EBB4-7ACD-4D12-9945-D57156FCCAB1}"/>
    <cellStyle name="40% - Accent6 3 2 2" xfId="4463" xr:uid="{1A47175A-7B07-49F8-8DF3-9E14E33144E6}"/>
    <cellStyle name="40% - Accent6 3 2 2 2" xfId="4464" xr:uid="{374C4048-6D97-475D-95F9-735A8639721A}"/>
    <cellStyle name="40% - Accent6 3 2 2_Exist Trunk Assets - Ferry" xfId="8589" xr:uid="{EF57E67D-1E6A-4F39-9BA3-E57013FB053D}"/>
    <cellStyle name="40% - Accent6 3 2 3" xfId="4465" xr:uid="{A74E1A82-276C-4D03-BB10-D9A6E20F54AC}"/>
    <cellStyle name="40% - Accent6 3 2 3 2" xfId="4466" xr:uid="{508C3A2A-AB55-4616-A63B-EDDC96B28098}"/>
    <cellStyle name="40% - Accent6 3 2 3_Exist Trunk Assets - Ferry" xfId="8590" xr:uid="{57D3DD7C-BCE3-4427-B64F-E6722A6C9332}"/>
    <cellStyle name="40% - Accent6 3 2 4" xfId="4467" xr:uid="{77413E3B-CD45-42AC-B25B-6F086905B942}"/>
    <cellStyle name="40% - Accent6 3 2_Exist Trunk Assets - Ferry" xfId="8588" xr:uid="{11707F04-6C86-4508-9214-6675F3918490}"/>
    <cellStyle name="40% - Accent6 3 3" xfId="1866" xr:uid="{8C7F716A-10DE-47F8-B36F-75D943C14FA9}"/>
    <cellStyle name="40% - Accent6 3 3 2" xfId="4468" xr:uid="{5703EB1B-436D-49BB-B8BD-A2C54C3A064F}"/>
    <cellStyle name="40% - Accent6 3 3 3" xfId="4469" xr:uid="{5196718B-652F-4760-875F-7D3672DFBB8E}"/>
    <cellStyle name="40% - Accent6 3 3 4" xfId="4470" xr:uid="{23A9AAA3-BDFD-4A30-B3D7-6DAD05977224}"/>
    <cellStyle name="40% - Accent6 3 4" xfId="4471" xr:uid="{53B0E25A-C66F-44B6-B75E-A69A40FAF82D}"/>
    <cellStyle name="40% - Accent6 3 4 2" xfId="4472" xr:uid="{FBC465EF-C5EB-4817-AC99-521F4B8A3D7C}"/>
    <cellStyle name="40% - Accent6 3 4_Exist Trunk Assets - Ferry" xfId="8591" xr:uid="{0591D0FE-E5DC-4924-93D8-8F6C69F35868}"/>
    <cellStyle name="40% - Accent6 3 5" xfId="4473" xr:uid="{E061D2FB-E7BA-474E-8785-21BB15A20357}"/>
    <cellStyle name="40% - Accent6 3 5 2" xfId="4474" xr:uid="{AAD8FE9A-DC94-4749-A33E-656C3E2B4DD7}"/>
    <cellStyle name="40% - Accent6 3 5_Exist Trunk Assets - Ferry" xfId="8592" xr:uid="{5C0275DE-F6BA-4A2B-8A27-ECC56C68A477}"/>
    <cellStyle name="40% - Accent6 3 6" xfId="4475" xr:uid="{D8EE7F33-9D9E-4FE3-84E7-61A4DB0433D5}"/>
    <cellStyle name="40% - Accent6 3_Exist Trunk Assets - Ferry" xfId="8587" xr:uid="{7254A580-C092-49D5-BBC4-9159F71D8A60}"/>
    <cellStyle name="40% - Accent6 30" xfId="522" xr:uid="{E1D2E251-DAD2-42CE-85C0-F8740C7319CE}"/>
    <cellStyle name="40% - Accent6 30 2" xfId="4476" xr:uid="{56AD623E-7F20-4151-A119-D1840A1EAE9B}"/>
    <cellStyle name="40% - Accent6 30 3" xfId="4477" xr:uid="{2D16F287-0B9D-40FD-B972-A87226F8BC2A}"/>
    <cellStyle name="40% - Accent6 30 4" xfId="4478" xr:uid="{0C466193-D72B-45B4-B451-6B3A84D2712A}"/>
    <cellStyle name="40% - Accent6 31" xfId="523" xr:uid="{060A02C6-03BC-400D-9FCA-5C5785B8E35D}"/>
    <cellStyle name="40% - Accent6 31 2" xfId="4479" xr:uid="{AAFE6723-68EC-48BF-A7A4-E644163DAE7A}"/>
    <cellStyle name="40% - Accent6 31 3" xfId="4480" xr:uid="{A0291870-BEB7-4911-BF17-87E07FB63758}"/>
    <cellStyle name="40% - Accent6 31 4" xfId="4481" xr:uid="{776F3476-BAC6-4D3F-AECC-DE681B0DC6E2}"/>
    <cellStyle name="40% - Accent6 32" xfId="524" xr:uid="{F2604B2A-7B28-44EF-8BD8-19B7F81544FB}"/>
    <cellStyle name="40% - Accent6 32 2" xfId="4482" xr:uid="{6C8825C1-6706-48E9-8406-FC0B83A59921}"/>
    <cellStyle name="40% - Accent6 32 3" xfId="4483" xr:uid="{2555013C-8129-4D5A-94BB-C4BFF99E51C1}"/>
    <cellStyle name="40% - Accent6 32 4" xfId="4484" xr:uid="{EBB37435-8478-45AB-A85A-50723A27F962}"/>
    <cellStyle name="40% - Accent6 33" xfId="525" xr:uid="{085C1569-25DD-4087-9E17-DA34910FC1E1}"/>
    <cellStyle name="40% - Accent6 33 2" xfId="4485" xr:uid="{F5CAD9E9-813F-485F-8B59-265DD3F0DC94}"/>
    <cellStyle name="40% - Accent6 33 3" xfId="4486" xr:uid="{EC14DEEB-9C21-41DD-AB4E-F0E2F7949FDE}"/>
    <cellStyle name="40% - Accent6 33 4" xfId="4487" xr:uid="{9A24079A-3DFC-4109-AEFE-120B505EA7A2}"/>
    <cellStyle name="40% - Accent6 34" xfId="526" xr:uid="{2E6F2AEC-4A03-4D7B-A22E-BEAE9B89AB00}"/>
    <cellStyle name="40% - Accent6 34 2" xfId="4488" xr:uid="{74EE4381-426B-4891-8CE0-1D798B78F1DF}"/>
    <cellStyle name="40% - Accent6 34 3" xfId="4489" xr:uid="{7B413762-3127-4805-8E51-9AAA692D9896}"/>
    <cellStyle name="40% - Accent6 34 4" xfId="4490" xr:uid="{351791B1-4449-4A3F-81BC-C6A1417A99E1}"/>
    <cellStyle name="40% - Accent6 35" xfId="527" xr:uid="{A7898B17-B608-4B21-9A75-C43C67702FFC}"/>
    <cellStyle name="40% - Accent6 35 2" xfId="4491" xr:uid="{ECA25724-3A4B-4177-A0AF-73BB5C46B9E0}"/>
    <cellStyle name="40% - Accent6 35 3" xfId="4492" xr:uid="{FEC19FB3-5829-4926-8F95-8456C856DC98}"/>
    <cellStyle name="40% - Accent6 35 4" xfId="4493" xr:uid="{0F243152-64D3-42DD-BDBF-B19C6660FF37}"/>
    <cellStyle name="40% - Accent6 36" xfId="528" xr:uid="{B1AA62C4-219D-4541-9353-4A01C56C7CA3}"/>
    <cellStyle name="40% - Accent6 36 2" xfId="4494" xr:uid="{0277D411-7D84-4709-A40E-0F3EDAB93952}"/>
    <cellStyle name="40% - Accent6 36 3" xfId="4495" xr:uid="{0C10A228-7D8C-4D5D-B0A8-426ED83E5FF2}"/>
    <cellStyle name="40% - Accent6 36 4" xfId="4496" xr:uid="{6435DD82-7A3C-412A-8A2D-EB4803F550BB}"/>
    <cellStyle name="40% - Accent6 37" xfId="529" xr:uid="{63FB51C4-9251-4E08-A4DF-73C1C6597FDC}"/>
    <cellStyle name="40% - Accent6 37 2" xfId="4497" xr:uid="{653BBC9E-98C3-43F3-9582-FFF1B1179259}"/>
    <cellStyle name="40% - Accent6 37 3" xfId="4498" xr:uid="{7D908867-D025-4C4D-9997-9ECC28061598}"/>
    <cellStyle name="40% - Accent6 37 4" xfId="4499" xr:uid="{40AE5196-9EC7-4554-8338-B42D55F9094E}"/>
    <cellStyle name="40% - Accent6 38" xfId="530" xr:uid="{B58CC36F-45BA-41E6-8E9A-C3617BF2025A}"/>
    <cellStyle name="40% - Accent6 38 2" xfId="4500" xr:uid="{CCAB663B-0314-4570-A889-E3A9F78B0A7C}"/>
    <cellStyle name="40% - Accent6 38 3" xfId="4501" xr:uid="{DC981516-0127-43EC-AB25-FB499373801C}"/>
    <cellStyle name="40% - Accent6 38 4" xfId="4502" xr:uid="{52342598-FFCE-4407-95C1-CE14E8554965}"/>
    <cellStyle name="40% - Accent6 39" xfId="531" xr:uid="{45C2FC42-8142-4AC5-A7D3-A7309CFD83D4}"/>
    <cellStyle name="40% - Accent6 39 2" xfId="4503" xr:uid="{99EE0023-4E23-44A6-8E7C-676498612C06}"/>
    <cellStyle name="40% - Accent6 39 3" xfId="4504" xr:uid="{73B03989-ADAF-47DE-90E2-72448138FBE2}"/>
    <cellStyle name="40% - Accent6 39 4" xfId="4505" xr:uid="{03C99977-474D-4A7F-8CD6-A0FB3142D40A}"/>
    <cellStyle name="40% - Accent6 4" xfId="532" xr:uid="{B08F3E01-08FF-40D8-95B3-50380F496676}"/>
    <cellStyle name="40% - Accent6 4 2" xfId="533" xr:uid="{575BDAB4-216B-4D59-9F41-70CE0A3E547E}"/>
    <cellStyle name="40% - Accent6 4 2 2" xfId="4506" xr:uid="{5A928E77-216E-4D8D-850E-47FD79A36B5E}"/>
    <cellStyle name="40% - Accent6 4 2 2 2" xfId="4507" xr:uid="{3A4F2379-8172-4ACA-9E73-6778CB251D6A}"/>
    <cellStyle name="40% - Accent6 4 2 2_Exist Trunk Assets - Ferry" xfId="8595" xr:uid="{A9DA6309-E976-4818-835A-BA668F08E067}"/>
    <cellStyle name="40% - Accent6 4 2 3" xfId="4508" xr:uid="{302BB7BF-F765-4901-8D0E-17D42453B504}"/>
    <cellStyle name="40% - Accent6 4 2 3 2" xfId="4509" xr:uid="{F3B66169-6E26-4801-8EB7-484130D8A557}"/>
    <cellStyle name="40% - Accent6 4 2 3_Exist Trunk Assets - Ferry" xfId="8596" xr:uid="{0FB4B64C-77A4-408C-9CBD-9FCC336D1F87}"/>
    <cellStyle name="40% - Accent6 4 2 4" xfId="4510" xr:uid="{A13DEEAD-8534-444C-A6A0-5BF4E884D74E}"/>
    <cellStyle name="40% - Accent6 4 2_Exist Trunk Assets - Ferry" xfId="8594" xr:uid="{3CBA4972-A83F-4D43-B493-9F4AFA39E3AF}"/>
    <cellStyle name="40% - Accent6 4 3" xfId="1867" xr:uid="{74A7E7C7-3708-4B64-8E43-3278957CBDAD}"/>
    <cellStyle name="40% - Accent6 4 3 2" xfId="4511" xr:uid="{AC607039-4687-49BE-8595-21E2B9739810}"/>
    <cellStyle name="40% - Accent6 4 3 3" xfId="4512" xr:uid="{4B217181-7143-4BF6-AB45-E468C3B06C05}"/>
    <cellStyle name="40% - Accent6 4 3 4" xfId="4513" xr:uid="{5167E935-3F48-4B6F-B54B-F01730F6E516}"/>
    <cellStyle name="40% - Accent6 4 4" xfId="4514" xr:uid="{2C43C518-7254-485B-9E8D-1A81849A9EA3}"/>
    <cellStyle name="40% - Accent6 4 4 2" xfId="4515" xr:uid="{91902280-0150-4654-8C17-9EA9141C703D}"/>
    <cellStyle name="40% - Accent6 4 4_Exist Trunk Assets - Ferry" xfId="8597" xr:uid="{6EFB98C8-BCA6-45D8-A0C5-565B606ED09C}"/>
    <cellStyle name="40% - Accent6 4 5" xfId="4516" xr:uid="{27391EB7-FF8F-4121-AB85-09D4B3DAF067}"/>
    <cellStyle name="40% - Accent6 4 5 2" xfId="4517" xr:uid="{A439A096-6FEA-4ADD-BCC2-D7E85621BD86}"/>
    <cellStyle name="40% - Accent6 4 5_Exist Trunk Assets - Ferry" xfId="8598" xr:uid="{5AAE75A1-4F17-437C-A858-FB612583C0CD}"/>
    <cellStyle name="40% - Accent6 4 6" xfId="4518" xr:uid="{36D7D424-3DF3-4FC6-84ED-B7C3F089C3CF}"/>
    <cellStyle name="40% - Accent6 4_Exist Trunk Assets - Ferry" xfId="8593" xr:uid="{09C681CE-19FB-454A-9303-3A57AD5BCDD0}"/>
    <cellStyle name="40% - Accent6 40" xfId="534" xr:uid="{E1806800-A83D-440A-A981-FA5E3BD20491}"/>
    <cellStyle name="40% - Accent6 40 2" xfId="4519" xr:uid="{41FBE926-4C23-438A-94F4-C514FC491089}"/>
    <cellStyle name="40% - Accent6 40 3" xfId="4520" xr:uid="{8F8CF772-7266-4759-BE08-681A61F6A4E0}"/>
    <cellStyle name="40% - Accent6 40 4" xfId="4521" xr:uid="{61F3B34F-61C1-4479-ADEC-A0157D2599D8}"/>
    <cellStyle name="40% - Accent6 5" xfId="535" xr:uid="{6CCFB179-A96B-4E2A-8E64-833EBB654EC3}"/>
    <cellStyle name="40% - Accent6 5 2" xfId="1865" xr:uid="{D1309C30-BC55-4BC5-9105-AF4653378C23}"/>
    <cellStyle name="40% - Accent6 5 2 2" xfId="2400" xr:uid="{13684E3C-B932-49DA-A72E-0E1D4242FA3F}"/>
    <cellStyle name="40% - Accent6 5 2 2 2" xfId="4522" xr:uid="{1ED47B1C-9CD4-4B3F-8ED3-69607913A078}"/>
    <cellStyle name="40% - Accent6 5 2 2 2 2" xfId="4523" xr:uid="{1D8F1B15-3836-4C1B-9099-FA220AF38873}"/>
    <cellStyle name="40% - Accent6 5 2 2 2_Exist Trunk Assets - Ferry" xfId="8601" xr:uid="{02D90FFE-E7A5-4FB6-A5EE-4237BB70C9B2}"/>
    <cellStyle name="40% - Accent6 5 2 2 3" xfId="4524" xr:uid="{6AB0DC53-3BCC-40A3-B7C8-705199AC028A}"/>
    <cellStyle name="40% - Accent6 5 2 2 3 2" xfId="4525" xr:uid="{326CA14E-D10D-431D-8C66-ADD14D20CD58}"/>
    <cellStyle name="40% - Accent6 5 2 2 3_Exist Trunk Assets - Ferry" xfId="8602" xr:uid="{1B5FB312-43E3-4DE0-8257-A3BA26AF40ED}"/>
    <cellStyle name="40% - Accent6 5 2 2 4" xfId="4526" xr:uid="{B3F43B01-D6D4-4EF6-9708-93AA514B617E}"/>
    <cellStyle name="40% - Accent6 5 2 2_Exist Trunk Assets - Ferry" xfId="8600" xr:uid="{EEA3E39C-AFC1-42D1-BB77-E390AA1FAA97}"/>
    <cellStyle name="40% - Accent6 5 2 3" xfId="4527" xr:uid="{86366216-47B0-488D-A950-D79A171A39F9}"/>
    <cellStyle name="40% - Accent6 5 2 4" xfId="4528" xr:uid="{2FBD0E0A-AB37-4092-8309-EF4FCF56EB26}"/>
    <cellStyle name="40% - Accent6 5 2 5" xfId="4529" xr:uid="{BCA2C9D1-7064-41F0-8C13-9F6BA6E0325B}"/>
    <cellStyle name="40% - Accent6 5 3" xfId="4530" xr:uid="{6361DA4E-03E0-420D-9AA8-0D5DB2A0EADD}"/>
    <cellStyle name="40% - Accent6 5 3 2" xfId="4531" xr:uid="{0C1787E4-2F22-4284-9FCA-DF9D26AA6140}"/>
    <cellStyle name="40% - Accent6 5 3_Exist Trunk Assets - Ferry" xfId="8603" xr:uid="{F088FE78-3893-40D4-9FA4-24779FE7D017}"/>
    <cellStyle name="40% - Accent6 5 4" xfId="4532" xr:uid="{52F00D39-72CF-47AE-9734-012F24B56D54}"/>
    <cellStyle name="40% - Accent6 5 4 2" xfId="4533" xr:uid="{5B97D6AF-52F0-4DE0-B935-619F1FDABC58}"/>
    <cellStyle name="40% - Accent6 5 4_Exist Trunk Assets - Ferry" xfId="8604" xr:uid="{6F1D9423-C833-40F3-A345-705FA7345679}"/>
    <cellStyle name="40% - Accent6 5 5" xfId="4534" xr:uid="{281FF38D-3134-4D04-AB3C-6329E3322E7C}"/>
    <cellStyle name="40% - Accent6 5_Exist Trunk Assets - Ferry" xfId="8599" xr:uid="{E14DB23B-4650-444B-82FC-F53311BE366E}"/>
    <cellStyle name="40% - Accent6 6" xfId="536" xr:uid="{B0A2FDA3-FF58-440E-88A3-AEC4E0FAD131}"/>
    <cellStyle name="40% - Accent6 6 2" xfId="4535" xr:uid="{75BCFF31-BA41-44DD-842F-ABC9650D0695}"/>
    <cellStyle name="40% - Accent6 6 3" xfId="4536" xr:uid="{6FCDD463-4A73-4733-B804-4718ED235C7C}"/>
    <cellStyle name="40% - Accent6 6 4" xfId="4537" xr:uid="{60D54261-A5E5-4C41-A62D-1E35E6F402F3}"/>
    <cellStyle name="40% - Accent6 7" xfId="537" xr:uid="{D388A041-CBE9-4415-BB0A-C09347061E63}"/>
    <cellStyle name="40% - Accent6 7 2" xfId="4538" xr:uid="{9CA763F0-45F0-4B69-AABD-5A6557E4BF4F}"/>
    <cellStyle name="40% - Accent6 7 3" xfId="4539" xr:uid="{49D01A7A-1324-4532-BFA8-1ADDA0CC4902}"/>
    <cellStyle name="40% - Accent6 7 4" xfId="4540" xr:uid="{DCA73EA1-07BC-4CF8-B723-E2B64A42E006}"/>
    <cellStyle name="40% - Accent6 8" xfId="538" xr:uid="{456DB0FC-B86B-4F06-900D-44DAAA732D38}"/>
    <cellStyle name="40% - Accent6 8 2" xfId="4541" xr:uid="{E99C9200-7C24-477F-A2AC-84AFDE973AF7}"/>
    <cellStyle name="40% - Accent6 8 3" xfId="4542" xr:uid="{7E791205-0C32-4BD0-9C25-1F5ADCC2FF68}"/>
    <cellStyle name="40% - Accent6 8 4" xfId="4543" xr:uid="{35C50349-FC9D-4E3E-A924-3967F37B8BFD}"/>
    <cellStyle name="40% - Accent6 9" xfId="539" xr:uid="{679B0D13-7954-435F-8156-9258E8C6D7CE}"/>
    <cellStyle name="40% - Accent6 9 2" xfId="4544" xr:uid="{4BF97EE8-E98C-44BC-8282-846DDBF70D1C}"/>
    <cellStyle name="40% - Accent6 9 3" xfId="4545" xr:uid="{B09AD419-6180-4F14-846C-4AABFD1F422E}"/>
    <cellStyle name="40% - Accent6 9 4" xfId="4546" xr:uid="{298BC3B5-A69A-4556-B4D3-B194E23DA5E0}"/>
    <cellStyle name="60% - Accent1 10" xfId="540" xr:uid="{5DD9DA48-8D81-453B-A3D5-DD737715F61E}"/>
    <cellStyle name="60% - Accent1 11" xfId="541" xr:uid="{660737B5-5F1E-41A8-9419-D293092FA0BF}"/>
    <cellStyle name="60% - Accent1 12" xfId="542" xr:uid="{88282D29-6B24-4DD9-811A-FC741972219F}"/>
    <cellStyle name="60% - Accent1 13" xfId="543" xr:uid="{26854BC9-F5EB-4BBF-A5B8-E9F44886553B}"/>
    <cellStyle name="60% - Accent1 14" xfId="544" xr:uid="{53D2BBFC-5450-4C3C-B9D3-37727EF36C8D}"/>
    <cellStyle name="60% - Accent1 15" xfId="545" xr:uid="{FB42CFCA-6B44-41D3-B4A5-EBBB0179093A}"/>
    <cellStyle name="60% - Accent1 16" xfId="546" xr:uid="{11E6F79A-F932-409F-86E4-48EA8DFB5CBD}"/>
    <cellStyle name="60% - Accent1 17" xfId="547" xr:uid="{9D3E3BDC-0D67-4B3A-A7E0-6B7B2F8F9C3D}"/>
    <cellStyle name="60% - Accent1 18" xfId="548" xr:uid="{F5D8E717-F640-4EDF-8004-B91C2F8F271A}"/>
    <cellStyle name="60% - Accent1 19" xfId="549" xr:uid="{37A22936-0CA3-421C-B9B6-A340E989E39B}"/>
    <cellStyle name="60% - Accent1 2" xfId="550" xr:uid="{81F4F2F3-EA7B-40F1-A248-C4F19EA04264}"/>
    <cellStyle name="60% - Accent1 20" xfId="551" xr:uid="{302D7336-DDE1-4006-B1F4-515361834988}"/>
    <cellStyle name="60% - Accent1 21" xfId="552" xr:uid="{ED04155E-33E1-42DB-836C-5CF52FF93B10}"/>
    <cellStyle name="60% - Accent1 22" xfId="553" xr:uid="{987128FE-DBF8-4C2E-B1E5-269908F9F938}"/>
    <cellStyle name="60% - Accent1 23" xfId="554" xr:uid="{BB616899-CC96-45E7-A87A-3E59D99EC238}"/>
    <cellStyle name="60% - Accent1 24" xfId="555" xr:uid="{AF13C094-C6DA-42A0-8CA0-863CD0B9F1D6}"/>
    <cellStyle name="60% - Accent1 25" xfId="556" xr:uid="{144B9420-313A-4BD7-9CDD-6D1145A23DDE}"/>
    <cellStyle name="60% - Accent1 26" xfId="557" xr:uid="{C9C733CB-A983-491E-9273-3E5B326D1E24}"/>
    <cellStyle name="60% - Accent1 27" xfId="558" xr:uid="{22E50BC2-FDC6-4A96-8A4B-4B59D1A83E5F}"/>
    <cellStyle name="60% - Accent1 28" xfId="559" xr:uid="{53B5AE5C-F73E-4BE1-B294-4C6EAA138772}"/>
    <cellStyle name="60% - Accent1 29" xfId="560" xr:uid="{9B26F82A-1806-4DCE-861A-20BD2320A9A5}"/>
    <cellStyle name="60% - Accent1 3" xfId="561" xr:uid="{A8F2CDBF-84D9-4EB1-AE84-DBDE685F969C}"/>
    <cellStyle name="60% - Accent1 30" xfId="562" xr:uid="{59475702-1616-47A1-BC09-13F538068EB8}"/>
    <cellStyle name="60% - Accent1 31" xfId="563" xr:uid="{C9DFAB5E-7647-4702-BB66-061500FC2C53}"/>
    <cellStyle name="60% - Accent1 32" xfId="564" xr:uid="{0CB2BC68-6F36-4C78-BAB5-5251AE0F78B6}"/>
    <cellStyle name="60% - Accent1 33" xfId="565" xr:uid="{1D3EF767-C337-4998-83A9-D57CA2F6FA35}"/>
    <cellStyle name="60% - Accent1 34" xfId="566" xr:uid="{06B8D7C3-8126-4DCE-BB34-228D03B31C19}"/>
    <cellStyle name="60% - Accent1 35" xfId="567" xr:uid="{2B1FB898-3E88-436F-82A2-F6BE491048AD}"/>
    <cellStyle name="60% - Accent1 36" xfId="568" xr:uid="{23B7D03D-0316-438C-B174-CBA14E84781F}"/>
    <cellStyle name="60% - Accent1 37" xfId="569" xr:uid="{B037B40C-65CC-41A5-BE9E-183B7F9B941E}"/>
    <cellStyle name="60% - Accent1 4" xfId="570" xr:uid="{75751610-8B1F-4378-884A-D931AE2F6CD3}"/>
    <cellStyle name="60% - Accent1 5" xfId="571" xr:uid="{FCED0A66-05D9-42D5-8DEF-716CF8548ACC}"/>
    <cellStyle name="60% - Accent1 6" xfId="572" xr:uid="{EBFD0447-A526-4814-9F16-9CBEF33F9083}"/>
    <cellStyle name="60% - Accent1 7" xfId="573" xr:uid="{8BF427E3-1C1E-4E0D-AA8B-BE04F6C877FB}"/>
    <cellStyle name="60% - Accent1 8" xfId="574" xr:uid="{29BE1C7B-067F-443F-AE68-733A79794B63}"/>
    <cellStyle name="60% - Accent1 9" xfId="575" xr:uid="{4F76758C-2BB3-45D4-A5FA-495A0D13BDF4}"/>
    <cellStyle name="60% - Accent2 10" xfId="576" xr:uid="{8DC4727A-ECB9-4471-9179-FF6C2FC0CDA0}"/>
    <cellStyle name="60% - Accent2 11" xfId="577" xr:uid="{F516857A-F481-40FB-9FD9-915B7985082C}"/>
    <cellStyle name="60% - Accent2 12" xfId="578" xr:uid="{51A8C712-9A9A-4137-B84D-7E23E97C3091}"/>
    <cellStyle name="60% - Accent2 13" xfId="579" xr:uid="{CB02FEA2-9A5B-4749-8D06-582F29EB2243}"/>
    <cellStyle name="60% - Accent2 14" xfId="580" xr:uid="{84C5F476-E6CB-4B0D-98B8-EDAEA1198417}"/>
    <cellStyle name="60% - Accent2 15" xfId="581" xr:uid="{A37836CF-43EE-4551-97C5-F2D5E50CEF83}"/>
    <cellStyle name="60% - Accent2 16" xfId="582" xr:uid="{3D7B551E-D43F-420E-825E-F415E9C92751}"/>
    <cellStyle name="60% - Accent2 17" xfId="583" xr:uid="{3509366B-42F3-4C8C-9ABA-676243904E2F}"/>
    <cellStyle name="60% - Accent2 18" xfId="584" xr:uid="{59514CC2-12FE-4ADE-8754-7B5CFD8AF129}"/>
    <cellStyle name="60% - Accent2 19" xfId="585" xr:uid="{3295135B-E497-47E5-99FE-75C73AB19832}"/>
    <cellStyle name="60% - Accent2 2" xfId="586" xr:uid="{B0E9A76E-8FF6-4CE0-99A3-6EBB0B6E19BC}"/>
    <cellStyle name="60% - Accent2 20" xfId="587" xr:uid="{AB0D5A9D-8929-4559-8BD0-4B9F01AF90C5}"/>
    <cellStyle name="60% - Accent2 21" xfId="588" xr:uid="{5A0C1F85-DB05-4D7C-96DF-03B680F8A9D7}"/>
    <cellStyle name="60% - Accent2 22" xfId="589" xr:uid="{CC49A4BA-E0E6-4870-BD73-15C5259C3511}"/>
    <cellStyle name="60% - Accent2 23" xfId="590" xr:uid="{5C479111-FBCE-42B3-9195-9F6B905935BA}"/>
    <cellStyle name="60% - Accent2 24" xfId="591" xr:uid="{AE737B59-13B5-48E5-9EF5-6775B801CCD2}"/>
    <cellStyle name="60% - Accent2 25" xfId="592" xr:uid="{BCBC5DC0-BAC7-44D2-9DCA-A64E1FE3202A}"/>
    <cellStyle name="60% - Accent2 26" xfId="593" xr:uid="{EE0AEBC0-13CA-4416-AE94-0D6A016D5392}"/>
    <cellStyle name="60% - Accent2 27" xfId="594" xr:uid="{0F2E3375-7B98-4465-BC1B-6F554DD7763E}"/>
    <cellStyle name="60% - Accent2 28" xfId="595" xr:uid="{566535A8-E7FC-443A-B387-1FAD37C2484E}"/>
    <cellStyle name="60% - Accent2 29" xfId="596" xr:uid="{B6B5CA3E-B9A7-4011-A9D4-CB4AFFF92B1B}"/>
    <cellStyle name="60% - Accent2 3" xfId="597" xr:uid="{5B7EA205-0C71-4EAB-9035-49AB0FB22803}"/>
    <cellStyle name="60% - Accent2 30" xfId="598" xr:uid="{C732BBDB-92CC-4F84-B81E-9266FBB29460}"/>
    <cellStyle name="60% - Accent2 31" xfId="599" xr:uid="{2E036161-7586-45E9-AA63-98809BD1A24F}"/>
    <cellStyle name="60% - Accent2 32" xfId="600" xr:uid="{8CBAE063-BE28-4CBA-A20F-61D16075C531}"/>
    <cellStyle name="60% - Accent2 33" xfId="601" xr:uid="{8EA132EA-B53F-4393-9763-A58D9DC0C7E1}"/>
    <cellStyle name="60% - Accent2 34" xfId="602" xr:uid="{BF26805C-AC6B-41CD-803F-3F23B08DA648}"/>
    <cellStyle name="60% - Accent2 35" xfId="603" xr:uid="{D0860BBD-210A-4C70-957B-691B01D8645F}"/>
    <cellStyle name="60% - Accent2 36" xfId="604" xr:uid="{4DE2695B-3F42-4B0A-BED1-B4D5DD915EA6}"/>
    <cellStyle name="60% - Accent2 37" xfId="605" xr:uid="{6811C8A9-6579-4C95-9155-FCC605E22B69}"/>
    <cellStyle name="60% - Accent2 4" xfId="606" xr:uid="{D38CE86D-DCFF-47BF-98B6-B66279462BC6}"/>
    <cellStyle name="60% - Accent2 5" xfId="607" xr:uid="{BF110F9C-D963-48C2-8278-6C25E31CD567}"/>
    <cellStyle name="60% - Accent2 6" xfId="608" xr:uid="{E9711183-32AA-45E7-840F-185B758363B0}"/>
    <cellStyle name="60% - Accent2 7" xfId="609" xr:uid="{E07243C3-6913-410A-AA18-859A0DC3F309}"/>
    <cellStyle name="60% - Accent2 8" xfId="610" xr:uid="{10233CD6-48D0-49E9-B1CF-A7FC64D8D5F8}"/>
    <cellStyle name="60% - Accent2 9" xfId="611" xr:uid="{6BED5023-868A-402B-B56B-EBD00B0936F2}"/>
    <cellStyle name="60% - Accent3 10" xfId="612" xr:uid="{5931B776-ECFD-4074-9B1E-A6B9D76BB680}"/>
    <cellStyle name="60% - Accent3 11" xfId="613" xr:uid="{1B4C6288-BBB1-4D8A-892A-A066D6B353DB}"/>
    <cellStyle name="60% - Accent3 12" xfId="614" xr:uid="{EBA5F2C4-D9FC-4DAA-9689-9A987A2811A2}"/>
    <cellStyle name="60% - Accent3 13" xfId="615" xr:uid="{95D157D2-3071-423D-8393-23D1B904F97D}"/>
    <cellStyle name="60% - Accent3 14" xfId="616" xr:uid="{283FE5B5-B9DA-44E7-81E4-1765A7BDAD10}"/>
    <cellStyle name="60% - Accent3 15" xfId="617" xr:uid="{D4BA8BA0-C632-4E53-96A5-9590FF072860}"/>
    <cellStyle name="60% - Accent3 16" xfId="618" xr:uid="{37E63648-AE0B-488D-ACEB-C25A1A36E4BE}"/>
    <cellStyle name="60% - Accent3 17" xfId="619" xr:uid="{F2919255-E733-420F-8B81-E115237F2435}"/>
    <cellStyle name="60% - Accent3 18" xfId="620" xr:uid="{47A0BB19-E29C-4AB3-A64F-29A0F2881CF2}"/>
    <cellStyle name="60% - Accent3 19" xfId="621" xr:uid="{4BF3D650-2F01-4BCD-B364-667324D35F02}"/>
    <cellStyle name="60% - Accent3 2" xfId="622" xr:uid="{2819AE79-E537-47DF-BC5F-468D361CD741}"/>
    <cellStyle name="60% - Accent3 20" xfId="623" xr:uid="{886E51B0-E39C-4FBE-A4E5-C59F770F5121}"/>
    <cellStyle name="60% - Accent3 21" xfId="624" xr:uid="{9B120025-3D3C-4C1C-910A-35200230AB87}"/>
    <cellStyle name="60% - Accent3 22" xfId="625" xr:uid="{7A5D0FED-530D-4487-BF25-BDCFEDC57FB0}"/>
    <cellStyle name="60% - Accent3 23" xfId="626" xr:uid="{40A4FBC3-8557-4E64-A3BF-655FE875EB2A}"/>
    <cellStyle name="60% - Accent3 24" xfId="627" xr:uid="{28F3366E-7CB4-41EE-8E35-ABF493A6467A}"/>
    <cellStyle name="60% - Accent3 25" xfId="628" xr:uid="{1FBC453F-B928-4608-B052-3D0F03A7F846}"/>
    <cellStyle name="60% - Accent3 26" xfId="629" xr:uid="{EDC022DE-916A-4A50-8CFF-186DC65C8B93}"/>
    <cellStyle name="60% - Accent3 27" xfId="630" xr:uid="{69AC563D-749D-457C-A279-BE8E4EB9752B}"/>
    <cellStyle name="60% - Accent3 28" xfId="631" xr:uid="{7FDFB6C0-DB3A-4031-8E0C-E81B34911D66}"/>
    <cellStyle name="60% - Accent3 29" xfId="632" xr:uid="{A87A313E-8DFE-42CF-BBA1-0FC3BB48B66C}"/>
    <cellStyle name="60% - Accent3 3" xfId="633" xr:uid="{927232C2-2F58-48E5-A096-D28A6A0ADD99}"/>
    <cellStyle name="60% - Accent3 30" xfId="634" xr:uid="{847BF0FD-6798-4CFD-BEF3-2E31D1642559}"/>
    <cellStyle name="60% - Accent3 31" xfId="635" xr:uid="{68D0DA73-F5F4-48FB-99F6-36435D517E19}"/>
    <cellStyle name="60% - Accent3 32" xfId="636" xr:uid="{45EF935A-1714-42B4-A0D6-B022245B45F5}"/>
    <cellStyle name="60% - Accent3 33" xfId="637" xr:uid="{9A15CCE6-A8B6-480A-8ADF-FFC9A77D43DB}"/>
    <cellStyle name="60% - Accent3 34" xfId="638" xr:uid="{93BB71F8-131C-43CA-ADB5-C74F420A3788}"/>
    <cellStyle name="60% - Accent3 35" xfId="639" xr:uid="{CD26EDB4-40F0-4718-9A12-B194AE7795B4}"/>
    <cellStyle name="60% - Accent3 36" xfId="640" xr:uid="{50293EA1-920A-499C-81B1-3274B029A921}"/>
    <cellStyle name="60% - Accent3 37" xfId="641" xr:uid="{177DF4EB-45D9-44E3-B563-87CE86144BF0}"/>
    <cellStyle name="60% - Accent3 4" xfId="642" xr:uid="{74020188-69A3-4414-B44E-6C39803B21A1}"/>
    <cellStyle name="60% - Accent3 5" xfId="643" xr:uid="{BA7FEFF5-D404-4740-8EAE-0DAF82EAEE6D}"/>
    <cellStyle name="60% - Accent3 6" xfId="644" xr:uid="{7B5A30AC-BA6E-4E92-B6FA-7062A2AF0142}"/>
    <cellStyle name="60% - Accent3 7" xfId="645" xr:uid="{FE47672D-6101-47AD-AEA3-549BA74C3B67}"/>
    <cellStyle name="60% - Accent3 8" xfId="646" xr:uid="{FA7AB331-25C9-41DA-A0FB-433952F9798C}"/>
    <cellStyle name="60% - Accent3 9" xfId="647" xr:uid="{44F959C9-51BA-42A6-B357-7EDEB616C991}"/>
    <cellStyle name="60% - Accent4 10" xfId="648" xr:uid="{A3C9D897-08B6-42B0-A557-AFF9DBF58EA3}"/>
    <cellStyle name="60% - Accent4 11" xfId="649" xr:uid="{ADE14FC1-4E90-4921-9145-E4F8393569C9}"/>
    <cellStyle name="60% - Accent4 12" xfId="650" xr:uid="{D600799A-FAAA-4C17-9134-C52B7A2BCB68}"/>
    <cellStyle name="60% - Accent4 13" xfId="651" xr:uid="{EDCA0F3A-530A-44D0-BA91-36803AF89184}"/>
    <cellStyle name="60% - Accent4 14" xfId="652" xr:uid="{5D1AFEA9-0B80-4ABE-83CA-84E0853DB182}"/>
    <cellStyle name="60% - Accent4 15" xfId="653" xr:uid="{1D3303CC-C8F4-4B46-AE2B-AFAA1D059D9F}"/>
    <cellStyle name="60% - Accent4 16" xfId="654" xr:uid="{C5AA3CEE-D0F5-4F2C-ADE3-FB782C2E24E8}"/>
    <cellStyle name="60% - Accent4 17" xfId="655" xr:uid="{1027D490-16E3-4D5F-AC81-BD0723E7EB86}"/>
    <cellStyle name="60% - Accent4 18" xfId="656" xr:uid="{CE09106B-2821-4552-BB2C-281B771FB662}"/>
    <cellStyle name="60% - Accent4 19" xfId="657" xr:uid="{29549FEE-ED00-41C6-90D0-81DD9B7F6553}"/>
    <cellStyle name="60% - Accent4 2" xfId="658" xr:uid="{43A95CFB-63FF-4BF2-B24A-B384A64E7446}"/>
    <cellStyle name="60% - Accent4 20" xfId="659" xr:uid="{A00DC304-D72F-44A2-A677-DCA85B1E4C7D}"/>
    <cellStyle name="60% - Accent4 21" xfId="660" xr:uid="{3642D656-4C00-4560-939D-31772F81416F}"/>
    <cellStyle name="60% - Accent4 22" xfId="661" xr:uid="{1F10B6C9-D6C4-49D2-BA8C-D19FEDD27CE0}"/>
    <cellStyle name="60% - Accent4 23" xfId="662" xr:uid="{6CCCE829-AE49-44A5-A2DD-AF28BE528307}"/>
    <cellStyle name="60% - Accent4 24" xfId="663" xr:uid="{21A901FE-BD14-429C-BBF6-D7AF1D625359}"/>
    <cellStyle name="60% - Accent4 25" xfId="664" xr:uid="{EF748C71-5AF6-4609-97D0-81732A9F8C03}"/>
    <cellStyle name="60% - Accent4 26" xfId="665" xr:uid="{E0979802-A931-4AAC-AD47-67C6CFB0852F}"/>
    <cellStyle name="60% - Accent4 27" xfId="666" xr:uid="{C52A1FAF-1503-4583-A625-E1989A4E28F4}"/>
    <cellStyle name="60% - Accent4 28" xfId="667" xr:uid="{8C0A36AD-1F10-48DC-85B1-2038294D418B}"/>
    <cellStyle name="60% - Accent4 29" xfId="668" xr:uid="{CD0ED947-AAB4-4406-9A55-5A70C3AB8D59}"/>
    <cellStyle name="60% - Accent4 3" xfId="669" xr:uid="{8FC740EE-6794-4A2E-B8D9-D965B7AD710F}"/>
    <cellStyle name="60% - Accent4 30" xfId="670" xr:uid="{8D36DA4C-22D9-498E-9366-B5B2DF143843}"/>
    <cellStyle name="60% - Accent4 31" xfId="671" xr:uid="{3BECE866-7C24-495E-9EF3-84F7EC12C6FB}"/>
    <cellStyle name="60% - Accent4 32" xfId="672" xr:uid="{15815667-349C-4F63-BD85-3C6951000915}"/>
    <cellStyle name="60% - Accent4 33" xfId="673" xr:uid="{63C5B273-6F81-48A9-BCED-65FBF744EEAE}"/>
    <cellStyle name="60% - Accent4 34" xfId="674" xr:uid="{7688AEFA-342D-41E3-8E4E-88081575B73B}"/>
    <cellStyle name="60% - Accent4 35" xfId="675" xr:uid="{00302C4B-1470-4B73-96CA-49E1CE1A6793}"/>
    <cellStyle name="60% - Accent4 36" xfId="676" xr:uid="{7ABB2DB2-8B52-4E7F-A1CE-202F36B7509A}"/>
    <cellStyle name="60% - Accent4 37" xfId="677" xr:uid="{20C53947-8C28-4B99-A92C-4AB26A0EB85F}"/>
    <cellStyle name="60% - Accent4 4" xfId="678" xr:uid="{5C191B2C-59C9-4D34-AF2C-40FE4904FB0A}"/>
    <cellStyle name="60% - Accent4 5" xfId="679" xr:uid="{4DF04C5A-2F73-4043-96D7-65E2C718F586}"/>
    <cellStyle name="60% - Accent4 6" xfId="680" xr:uid="{B575858E-8804-4CBB-A83B-CF1DD516EB82}"/>
    <cellStyle name="60% - Accent4 7" xfId="681" xr:uid="{7AC54716-E59A-47E6-A7B1-48F55D16C066}"/>
    <cellStyle name="60% - Accent4 8" xfId="682" xr:uid="{8D17E8ED-6412-4553-9254-2D327BB8E4BA}"/>
    <cellStyle name="60% - Accent4 9" xfId="683" xr:uid="{FE5D71DC-FCE1-4A02-BD46-7198B809E3E1}"/>
    <cellStyle name="60% - Accent5 10" xfId="684" xr:uid="{5E52F1BF-637A-485B-985D-A8135AE8C52A}"/>
    <cellStyle name="60% - Accent5 11" xfId="685" xr:uid="{F8B26AF5-7D06-4B27-AF8D-B935FD8E7E72}"/>
    <cellStyle name="60% - Accent5 12" xfId="686" xr:uid="{1FE66EE2-2387-44A4-B4FD-AAD11BC87063}"/>
    <cellStyle name="60% - Accent5 13" xfId="687" xr:uid="{77498DEA-C4FC-4B46-A0E9-E7C7B4A83052}"/>
    <cellStyle name="60% - Accent5 14" xfId="688" xr:uid="{F8E0B120-E7D0-4164-BC56-1210DE2A74CF}"/>
    <cellStyle name="60% - Accent5 15" xfId="689" xr:uid="{B0DF82D7-19C3-4BF0-A5A3-2311EEE6B967}"/>
    <cellStyle name="60% - Accent5 16" xfId="690" xr:uid="{6E47DFF8-A041-4476-BE52-A0C6FF0182AE}"/>
    <cellStyle name="60% - Accent5 17" xfId="691" xr:uid="{3E2B844F-3C95-4A49-97E2-18BC7894A865}"/>
    <cellStyle name="60% - Accent5 18" xfId="692" xr:uid="{B048F8D3-2896-487F-8EB9-69DEE8328058}"/>
    <cellStyle name="60% - Accent5 19" xfId="693" xr:uid="{D939FE64-90CE-497E-89CB-6C6661697BFE}"/>
    <cellStyle name="60% - Accent5 2" xfId="694" xr:uid="{CD49E5FA-B57C-4DF3-829C-E90BE5D6D5FB}"/>
    <cellStyle name="60% - Accent5 20" xfId="695" xr:uid="{FD1DB77C-D86A-40FD-9141-C14115EAED2D}"/>
    <cellStyle name="60% - Accent5 21" xfId="696" xr:uid="{6330A05A-1462-4562-87A1-1BE432D68189}"/>
    <cellStyle name="60% - Accent5 22" xfId="697" xr:uid="{19F05314-70A8-4CF9-88E1-85DA66E3AE98}"/>
    <cellStyle name="60% - Accent5 23" xfId="698" xr:uid="{37D483E5-EB1A-4349-AC83-E10613B2B678}"/>
    <cellStyle name="60% - Accent5 24" xfId="699" xr:uid="{0E249552-DE2E-4415-A988-D68FC08A6A3B}"/>
    <cellStyle name="60% - Accent5 25" xfId="700" xr:uid="{AEC82434-23CA-4651-89EF-975E59BC4517}"/>
    <cellStyle name="60% - Accent5 26" xfId="701" xr:uid="{8114E8F6-A351-47D8-8786-0836473AE6DB}"/>
    <cellStyle name="60% - Accent5 27" xfId="702" xr:uid="{4A421E4D-7041-498D-9924-70E3CA27D2B6}"/>
    <cellStyle name="60% - Accent5 28" xfId="703" xr:uid="{401F3C8A-2F91-4B63-80B7-F9B41EAC271E}"/>
    <cellStyle name="60% - Accent5 29" xfId="704" xr:uid="{D2AEC5EE-C4AE-428B-8BBF-829A22E4D3E9}"/>
    <cellStyle name="60% - Accent5 3" xfId="705" xr:uid="{A574FB2A-CD99-43E8-B990-86D9D5B1E5E9}"/>
    <cellStyle name="60% - Accent5 30" xfId="706" xr:uid="{30E54E3B-FBBA-48FA-8D94-9A2BAC3F98BF}"/>
    <cellStyle name="60% - Accent5 31" xfId="707" xr:uid="{EFE398D0-54AF-49AD-8767-A8D89067DFDC}"/>
    <cellStyle name="60% - Accent5 32" xfId="708" xr:uid="{C5643CE4-1CEC-4A8E-BB33-2B68741786ED}"/>
    <cellStyle name="60% - Accent5 33" xfId="709" xr:uid="{59073F92-8AF3-438D-850A-CE1233C88FF3}"/>
    <cellStyle name="60% - Accent5 34" xfId="710" xr:uid="{D91A956E-8D67-4A40-B70F-FEE49777E19B}"/>
    <cellStyle name="60% - Accent5 35" xfId="711" xr:uid="{5E63CCCB-55D4-4020-BCD4-AE740797EEB2}"/>
    <cellStyle name="60% - Accent5 36" xfId="712" xr:uid="{5DDEF0C8-FE23-4A8E-8E6C-328941400D01}"/>
    <cellStyle name="60% - Accent5 37" xfId="713" xr:uid="{45E63F49-EC6D-4290-99E8-27B8CB5F7DCA}"/>
    <cellStyle name="60% - Accent5 4" xfId="714" xr:uid="{FDF5D998-E882-4A10-99DA-2C6CC6219B82}"/>
    <cellStyle name="60% - Accent5 5" xfId="715" xr:uid="{767920C9-8964-46DE-880D-05862F377525}"/>
    <cellStyle name="60% - Accent5 6" xfId="716" xr:uid="{4DC3BEEE-597A-4547-8250-1BC4836F779B}"/>
    <cellStyle name="60% - Accent5 7" xfId="717" xr:uid="{7F6083CF-75EE-436F-BDEF-DA5A29A635A7}"/>
    <cellStyle name="60% - Accent5 8" xfId="718" xr:uid="{005E990D-0E3B-48A6-8B8E-59A52F1DB42E}"/>
    <cellStyle name="60% - Accent5 9" xfId="719" xr:uid="{F143BA55-ED33-48FA-A37F-810C31E0C384}"/>
    <cellStyle name="60% - Accent6 10" xfId="720" xr:uid="{17C324D8-FF53-4C73-A9DB-ECF95038F1AC}"/>
    <cellStyle name="60% - Accent6 11" xfId="721" xr:uid="{8B7EEBB0-1837-4945-8A8C-DBB25192663E}"/>
    <cellStyle name="60% - Accent6 12" xfId="722" xr:uid="{97869323-6A3E-4ECD-BDDE-3AC62CED37B0}"/>
    <cellStyle name="60% - Accent6 13" xfId="723" xr:uid="{B49269F4-551B-4777-8F6D-80FF774304DE}"/>
    <cellStyle name="60% - Accent6 14" xfId="724" xr:uid="{3D0A69F3-7674-410D-A2EB-5D6DC5D26EB8}"/>
    <cellStyle name="60% - Accent6 15" xfId="725" xr:uid="{FDBB58D8-F86E-488F-9E17-7AE565EE4CF7}"/>
    <cellStyle name="60% - Accent6 16" xfId="726" xr:uid="{220E22D5-B897-478C-AC4D-BC185926BC67}"/>
    <cellStyle name="60% - Accent6 17" xfId="727" xr:uid="{BDDCB947-771F-4820-BA8E-5ABA0EFCF6D7}"/>
    <cellStyle name="60% - Accent6 18" xfId="728" xr:uid="{2E09F776-186B-4FE3-A9F7-C50D925E0BA3}"/>
    <cellStyle name="60% - Accent6 19" xfId="729" xr:uid="{DFFA9CA1-6865-4B4B-A48C-A929FACCF1B0}"/>
    <cellStyle name="60% - Accent6 2" xfId="730" xr:uid="{828572EA-55F3-4835-9A40-FE18F3461D70}"/>
    <cellStyle name="60% - Accent6 20" xfId="731" xr:uid="{99DF74C4-7B6A-4897-BE17-DDF4B7F12DAB}"/>
    <cellStyle name="60% - Accent6 21" xfId="732" xr:uid="{5981FAF0-1C65-4EB5-87E2-70CDE11EC886}"/>
    <cellStyle name="60% - Accent6 22" xfId="733" xr:uid="{8DC904B0-7BEA-4682-B469-433CFD8BE461}"/>
    <cellStyle name="60% - Accent6 23" xfId="734" xr:uid="{D455850D-ED18-4C24-A882-5E5C8B8613E3}"/>
    <cellStyle name="60% - Accent6 24" xfId="735" xr:uid="{96D34FE4-88A2-4E3A-A536-80C395332244}"/>
    <cellStyle name="60% - Accent6 25" xfId="736" xr:uid="{1EC6210E-D75C-4DA3-983D-61199B0F39C1}"/>
    <cellStyle name="60% - Accent6 26" xfId="737" xr:uid="{C90331BE-470B-4F72-BFFD-33DC7D0E79B9}"/>
    <cellStyle name="60% - Accent6 27" xfId="738" xr:uid="{F1998A2F-B8E3-4164-AABF-CC95A4FB6452}"/>
    <cellStyle name="60% - Accent6 28" xfId="739" xr:uid="{6376C1E9-A4B9-4120-B0B3-F4E346AC1B70}"/>
    <cellStyle name="60% - Accent6 29" xfId="740" xr:uid="{5AB82028-9489-4D8C-B764-45A9CBA18688}"/>
    <cellStyle name="60% - Accent6 3" xfId="741" xr:uid="{DDAF5533-2393-46E8-8D1B-ED2A97E1DCAE}"/>
    <cellStyle name="60% - Accent6 30" xfId="742" xr:uid="{5ACE9213-B626-4D59-9B94-4FB85A58C655}"/>
    <cellStyle name="60% - Accent6 31" xfId="743" xr:uid="{B8482F5A-2001-48D1-A65E-0A2593F0C1A6}"/>
    <cellStyle name="60% - Accent6 32" xfId="744" xr:uid="{CA8A60AC-B2B2-4AE4-A755-0F33187C7D9A}"/>
    <cellStyle name="60% - Accent6 33" xfId="745" xr:uid="{473194F8-2810-4F8E-A1C0-FCE93BBE762B}"/>
    <cellStyle name="60% - Accent6 34" xfId="746" xr:uid="{149DBA75-957D-4304-BC86-EF6DFA573D80}"/>
    <cellStyle name="60% - Accent6 35" xfId="747" xr:uid="{DFE3C7FD-257E-4E8E-90AB-98CDCFD3FC1F}"/>
    <cellStyle name="60% - Accent6 36" xfId="748" xr:uid="{D7F1083C-33AA-4C7C-B860-AA6AA5FC3B39}"/>
    <cellStyle name="60% - Accent6 37" xfId="749" xr:uid="{563227E2-79F6-4AF9-9816-5FA4F13E3BCC}"/>
    <cellStyle name="60% - Accent6 4" xfId="750" xr:uid="{48E395F5-2926-43ED-B147-8DA01076B351}"/>
    <cellStyle name="60% - Accent6 5" xfId="751" xr:uid="{566727A0-82F3-4FBE-AD18-A37FF367D61C}"/>
    <cellStyle name="60% - Accent6 6" xfId="752" xr:uid="{7BF3A91B-842D-4FFE-9DC0-76576DED7213}"/>
    <cellStyle name="60% - Accent6 7" xfId="753" xr:uid="{603EBB26-6BF4-4A49-8076-F4051B4E94B4}"/>
    <cellStyle name="60% - Accent6 8" xfId="754" xr:uid="{1E83CB85-9EC4-47AE-A813-B2492C4709AF}"/>
    <cellStyle name="60% - Accent6 9" xfId="755" xr:uid="{1400F531-E599-4497-8D06-086DCC1E2D97}"/>
    <cellStyle name="Accent1 10" xfId="756" xr:uid="{07FE3CA8-094E-4212-B5BA-FA4491A433FE}"/>
    <cellStyle name="Accent1 11" xfId="757" xr:uid="{0F1D050D-8363-400A-B6F6-21A1EAD763E0}"/>
    <cellStyle name="Accent1 12" xfId="758" xr:uid="{29A39C14-4B99-46C6-BE2A-3E88B9FF0EFF}"/>
    <cellStyle name="Accent1 13" xfId="759" xr:uid="{FBCC118C-3F12-49F7-A2AA-6447AC3D0EA9}"/>
    <cellStyle name="Accent1 14" xfId="760" xr:uid="{58938ABF-AF5F-49DA-A894-585723A60DF7}"/>
    <cellStyle name="Accent1 15" xfId="761" xr:uid="{80E704E7-65F0-441A-A0A0-ADC94B7F4D29}"/>
    <cellStyle name="Accent1 16" xfId="762" xr:uid="{FA6DDD4D-96BD-4DA6-A465-11925FFDC806}"/>
    <cellStyle name="Accent1 17" xfId="763" xr:uid="{229B25DD-6F7B-4D12-B2B0-A3CB298E6D05}"/>
    <cellStyle name="Accent1 18" xfId="764" xr:uid="{F1A96AE9-E858-455D-B899-9D5D2A3C792F}"/>
    <cellStyle name="Accent1 19" xfId="765" xr:uid="{5E065B48-3A48-47BB-83DF-0F7D5B04FEDA}"/>
    <cellStyle name="Accent1 2" xfId="766" xr:uid="{A373CC3B-B75D-4178-952F-5FAEFCAFB8E6}"/>
    <cellStyle name="Accent1 20" xfId="767" xr:uid="{670D4AAC-6ED6-47A0-946D-3ABF526BE471}"/>
    <cellStyle name="Accent1 21" xfId="768" xr:uid="{E8459A2A-F0C0-4D11-87DB-7783D0E41A33}"/>
    <cellStyle name="Accent1 22" xfId="769" xr:uid="{DF0F9565-A322-433A-98AE-6665FF6D7545}"/>
    <cellStyle name="Accent1 23" xfId="770" xr:uid="{B19BF29C-1DFE-4593-AB12-879AC29A8535}"/>
    <cellStyle name="Accent1 24" xfId="771" xr:uid="{8682BC95-690A-41D1-92F8-8B11FCB893C3}"/>
    <cellStyle name="Accent1 25" xfId="772" xr:uid="{8DD3FCC2-3F59-4EBF-82C3-EB21798FADA6}"/>
    <cellStyle name="Accent1 26" xfId="773" xr:uid="{25C15A77-7A22-4E8F-8F64-D45BA756F48D}"/>
    <cellStyle name="Accent1 27" xfId="774" xr:uid="{C9189704-A0EC-41E5-B1AB-4AAAF2E77ADE}"/>
    <cellStyle name="Accent1 28" xfId="775" xr:uid="{79059497-626D-4A5E-9694-AA8F45508A14}"/>
    <cellStyle name="Accent1 29" xfId="776" xr:uid="{A212A928-A3AC-40BF-8601-B46997B4B407}"/>
    <cellStyle name="Accent1 3" xfId="777" xr:uid="{211D6956-F1B9-4AE0-93AE-3DF28D8CEA0A}"/>
    <cellStyle name="Accent1 30" xfId="778" xr:uid="{D05052C5-55B8-4138-A2BD-47B27A2B1828}"/>
    <cellStyle name="Accent1 31" xfId="779" xr:uid="{682B74B5-93A3-41AE-837A-A39F81CEEF44}"/>
    <cellStyle name="Accent1 32" xfId="780" xr:uid="{4D9544EF-E6A8-404A-94A0-D589A4507DD4}"/>
    <cellStyle name="Accent1 33" xfId="781" xr:uid="{3014EEA5-7AFC-4F06-BC0F-78D1DCE26426}"/>
    <cellStyle name="Accent1 34" xfId="782" xr:uid="{6B3099A7-29FD-4BBA-92AA-2FD9E1FD14C7}"/>
    <cellStyle name="Accent1 35" xfId="783" xr:uid="{CE488235-1373-436A-8F93-D106C725793E}"/>
    <cellStyle name="Accent1 36" xfId="784" xr:uid="{DC1BDAC8-83DD-4B24-B5DE-A7FC3F193480}"/>
    <cellStyle name="Accent1 37" xfId="785" xr:uid="{029E6D29-87D9-4B0C-A391-C9C2E1C1C0D5}"/>
    <cellStyle name="Accent1 4" xfId="786" xr:uid="{FBF5FABF-B523-411F-9E29-B147447043F0}"/>
    <cellStyle name="Accent1 5" xfId="787" xr:uid="{3B4FC3B6-E959-424E-ADD7-7ED9B50DB09A}"/>
    <cellStyle name="Accent1 6" xfId="788" xr:uid="{0B451146-C482-40D1-A8F3-AB12B5140876}"/>
    <cellStyle name="Accent1 7" xfId="789" xr:uid="{1A705F90-B83F-408B-89D9-402A23813A0B}"/>
    <cellStyle name="Accent1 8" xfId="790" xr:uid="{49973F8D-1C92-4E72-9E8E-6372B5E80BEF}"/>
    <cellStyle name="Accent1 9" xfId="791" xr:uid="{403FB277-ECEE-4C6D-8D7C-D039E5B120B5}"/>
    <cellStyle name="Accent2 10" xfId="792" xr:uid="{6609B769-D8BA-4C3A-9112-8B9A7D2FCEEC}"/>
    <cellStyle name="Accent2 11" xfId="793" xr:uid="{1B7F1261-10AC-4DF6-AFC3-B77D00786BA0}"/>
    <cellStyle name="Accent2 12" xfId="794" xr:uid="{012F44B6-236A-4EE1-B610-83F46362A6E2}"/>
    <cellStyle name="Accent2 13" xfId="795" xr:uid="{732B9254-718A-4B11-9C3B-E5B55356BB50}"/>
    <cellStyle name="Accent2 14" xfId="796" xr:uid="{B94C8D73-67E5-443D-BD58-30A1E1A7F8AF}"/>
    <cellStyle name="Accent2 15" xfId="797" xr:uid="{A7CDF324-FB4D-442F-AF45-122C61E8E41A}"/>
    <cellStyle name="Accent2 16" xfId="798" xr:uid="{50130A4B-8071-47F7-B195-1DD54CDE2BF9}"/>
    <cellStyle name="Accent2 17" xfId="799" xr:uid="{ADD3F3DA-13DA-4D72-A551-CEF7D4EE5870}"/>
    <cellStyle name="Accent2 18" xfId="800" xr:uid="{E5895E5F-0EEB-45EF-9316-E107A59DB85E}"/>
    <cellStyle name="Accent2 19" xfId="801" xr:uid="{CE9AEF1A-6E77-4DD6-BF70-7275B41E468F}"/>
    <cellStyle name="Accent2 2" xfId="802" xr:uid="{A1B31FA1-2658-43BD-BB93-56BFC7D0C02E}"/>
    <cellStyle name="Accent2 20" xfId="803" xr:uid="{2B3249BB-01C1-47C6-8DD7-DA6E5B64C466}"/>
    <cellStyle name="Accent2 21" xfId="804" xr:uid="{6F7C1D5F-EE50-4CB5-ACC9-2FF413C0371B}"/>
    <cellStyle name="Accent2 22" xfId="805" xr:uid="{D153E05B-ADB3-485E-AEFE-482339CF4110}"/>
    <cellStyle name="Accent2 23" xfId="806" xr:uid="{92694C0E-420D-4533-B0BF-52D685B6F3CD}"/>
    <cellStyle name="Accent2 24" xfId="807" xr:uid="{AE820DB7-3704-4031-8DFF-649D4F68803B}"/>
    <cellStyle name="Accent2 25" xfId="808" xr:uid="{EEEDA141-880C-4934-8F24-C318D7861BCA}"/>
    <cellStyle name="Accent2 26" xfId="809" xr:uid="{0C05E298-0B84-462A-944F-087E3F9DF1ED}"/>
    <cellStyle name="Accent2 27" xfId="810" xr:uid="{0DE045F5-FF7D-42C9-B828-A9EF816A2405}"/>
    <cellStyle name="Accent2 28" xfId="811" xr:uid="{CB041A42-C0C5-4D67-B7F4-5D83099EBCED}"/>
    <cellStyle name="Accent2 29" xfId="812" xr:uid="{DC4F5DA2-D79A-4C51-B5A3-43DD1F3E64C7}"/>
    <cellStyle name="Accent2 3" xfId="813" xr:uid="{27517F62-868E-48EB-9182-4C8907DCF54B}"/>
    <cellStyle name="Accent2 30" xfId="814" xr:uid="{F5CBBD04-65DA-4AB6-9567-2A48B182CC2D}"/>
    <cellStyle name="Accent2 31" xfId="815" xr:uid="{7898A6C2-A1FA-4D0A-904E-B03CF18C3FD3}"/>
    <cellStyle name="Accent2 32" xfId="816" xr:uid="{07A35E2A-1668-4CD3-9AB7-6BC3D56C07F9}"/>
    <cellStyle name="Accent2 33" xfId="817" xr:uid="{BC9A19EF-7BF3-43BB-B139-36B44B274CC6}"/>
    <cellStyle name="Accent2 34" xfId="818" xr:uid="{D2C91350-06A0-4312-A024-29020D8056FF}"/>
    <cellStyle name="Accent2 35" xfId="819" xr:uid="{01016164-2356-4FCA-8880-2DDDCD38C242}"/>
    <cellStyle name="Accent2 36" xfId="820" xr:uid="{FE8405AC-C2DE-4C55-9321-42C3FC158039}"/>
    <cellStyle name="Accent2 37" xfId="821" xr:uid="{C8B40BBC-75E4-4ED3-A014-007E78EE53FF}"/>
    <cellStyle name="Accent2 4" xfId="822" xr:uid="{BE410BF0-2EDB-4F8D-8A87-B5CCEE38C453}"/>
    <cellStyle name="Accent2 5" xfId="823" xr:uid="{1241CCF7-B55E-43D1-AEBC-8954FC3DCB56}"/>
    <cellStyle name="Accent2 6" xfId="824" xr:uid="{253F6F25-6887-4FE7-9847-6B6260FC0CEC}"/>
    <cellStyle name="Accent2 7" xfId="825" xr:uid="{2A738707-EB90-446F-837B-7BA9C1F7037A}"/>
    <cellStyle name="Accent2 8" xfId="826" xr:uid="{ECE140A6-EC5F-4A4F-ADA1-67E8EA6D0B36}"/>
    <cellStyle name="Accent2 9" xfId="827" xr:uid="{C98EB0ED-9D66-4013-A632-9605C2A3C05E}"/>
    <cellStyle name="Accent3 10" xfId="828" xr:uid="{220C9DDA-5D93-436D-8D18-552285AB2C93}"/>
    <cellStyle name="Accent3 11" xfId="829" xr:uid="{0D182FD7-EE44-4B1C-9816-4115E83664B4}"/>
    <cellStyle name="Accent3 12" xfId="830" xr:uid="{19EBA056-42DC-44C6-9D39-0707D8082AB5}"/>
    <cellStyle name="Accent3 13" xfId="831" xr:uid="{4368F9B4-5C38-43E3-BC88-C275FBCAEBD8}"/>
    <cellStyle name="Accent3 14" xfId="832" xr:uid="{943DC978-2C43-48B1-AE5D-17879533434A}"/>
    <cellStyle name="Accent3 15" xfId="833" xr:uid="{D10E1D7F-C14D-454E-93D2-1E63FC0A389D}"/>
    <cellStyle name="Accent3 16" xfId="834" xr:uid="{173CC02E-F13F-41BF-8FE1-10013F145EF1}"/>
    <cellStyle name="Accent3 17" xfId="835" xr:uid="{6FC6445D-B0F1-41D0-B924-DE4995DBA0AB}"/>
    <cellStyle name="Accent3 18" xfId="836" xr:uid="{73A92BB5-85FA-44CF-8B99-41ABB121CEB4}"/>
    <cellStyle name="Accent3 19" xfId="837" xr:uid="{3A92DF71-6EFA-4EDD-A92D-87F93D411CDF}"/>
    <cellStyle name="Accent3 2" xfId="838" xr:uid="{5E8C4D5E-2857-497D-B4BB-DC5BB714A75D}"/>
    <cellStyle name="Accent3 20" xfId="839" xr:uid="{E7652FFA-9293-4CF8-AE67-0079944BFD44}"/>
    <cellStyle name="Accent3 21" xfId="840" xr:uid="{7A3966A1-13DA-43A3-9201-630D845E4919}"/>
    <cellStyle name="Accent3 22" xfId="841" xr:uid="{8E8B3049-AF22-4C30-A819-53709978E329}"/>
    <cellStyle name="Accent3 23" xfId="842" xr:uid="{CBFABFE4-06AD-4024-9882-6D951B71808D}"/>
    <cellStyle name="Accent3 24" xfId="843" xr:uid="{2BC380EB-42CA-4470-BFE8-F03042C4F096}"/>
    <cellStyle name="Accent3 25" xfId="844" xr:uid="{8F465C58-D65D-4B4F-8227-33E1BA6CBA27}"/>
    <cellStyle name="Accent3 26" xfId="845" xr:uid="{5E606BA7-7665-4CAE-97F5-24C92B912053}"/>
    <cellStyle name="Accent3 27" xfId="846" xr:uid="{23A9A166-4DD0-4DDF-8F69-7C18D6FEC497}"/>
    <cellStyle name="Accent3 28" xfId="847" xr:uid="{1A9B820F-21B7-44A2-8BA7-45AC39D2CFF5}"/>
    <cellStyle name="Accent3 29" xfId="848" xr:uid="{57372B30-5527-460D-B726-5520CB5432FF}"/>
    <cellStyle name="Accent3 3" xfId="849" xr:uid="{896ACF94-D3BA-4931-96F8-7C85386CF187}"/>
    <cellStyle name="Accent3 30" xfId="850" xr:uid="{B3C90F08-CE10-4F72-A046-6819F8F3F23F}"/>
    <cellStyle name="Accent3 31" xfId="851" xr:uid="{805ACF85-A1D4-480E-AB14-F60EFE859C91}"/>
    <cellStyle name="Accent3 32" xfId="852" xr:uid="{F71F8917-3AA5-450C-B682-1FA6BCE18469}"/>
    <cellStyle name="Accent3 33" xfId="853" xr:uid="{14477AA2-D28D-46B8-84FA-DBA56E720E37}"/>
    <cellStyle name="Accent3 34" xfId="854" xr:uid="{4A310D8C-C0B2-4DBC-81E6-B7D98AF5111B}"/>
    <cellStyle name="Accent3 35" xfId="855" xr:uid="{C9C7810F-B496-4302-AC19-B4831ACF015D}"/>
    <cellStyle name="Accent3 36" xfId="856" xr:uid="{BF17D612-EDCF-4B7D-8FBB-F235A3A3687C}"/>
    <cellStyle name="Accent3 37" xfId="857" xr:uid="{9A8D6F60-8678-4874-B4C4-133A26A3ECBD}"/>
    <cellStyle name="Accent3 4" xfId="858" xr:uid="{84352159-EB36-4774-A28E-1C50F1F10368}"/>
    <cellStyle name="Accent3 5" xfId="859" xr:uid="{F49CD66B-0C54-4600-BE5F-260C8C6AA1A4}"/>
    <cellStyle name="Accent3 6" xfId="860" xr:uid="{BF77BDB6-9A2C-4E33-A8D7-03264C2C5D50}"/>
    <cellStyle name="Accent3 7" xfId="861" xr:uid="{3AEB41E1-25DE-40ED-9081-52D9D6C933EE}"/>
    <cellStyle name="Accent3 8" xfId="862" xr:uid="{DE10B7DB-5525-4C46-9838-CDFA506C2A73}"/>
    <cellStyle name="Accent3 9" xfId="863" xr:uid="{EC7E2820-B35A-424E-A46C-E64EBB50DAAA}"/>
    <cellStyle name="Accent4 10" xfId="864" xr:uid="{6AD2FE6F-B6B5-41D5-8EEA-FD3D145E862B}"/>
    <cellStyle name="Accent4 11" xfId="865" xr:uid="{DDEF7C03-CE37-49B7-8109-4A47D9383E09}"/>
    <cellStyle name="Accent4 12" xfId="866" xr:uid="{F165F397-5F09-4891-98D9-5B9C418DD8AA}"/>
    <cellStyle name="Accent4 13" xfId="867" xr:uid="{896436E0-A64B-4FB8-80B7-F6A2D73CA65F}"/>
    <cellStyle name="Accent4 14" xfId="868" xr:uid="{434FCB61-CA71-4C42-B29B-6D9A9818C3B0}"/>
    <cellStyle name="Accent4 15" xfId="869" xr:uid="{E9B3B2FC-C0A0-40EC-BFCF-13C3D2422A6E}"/>
    <cellStyle name="Accent4 16" xfId="870" xr:uid="{CDEC41C7-831E-47CD-8BEE-A427511DE517}"/>
    <cellStyle name="Accent4 17" xfId="871" xr:uid="{BD93BFFF-8960-43B9-9653-9D5E1816CB17}"/>
    <cellStyle name="Accent4 18" xfId="872" xr:uid="{7479C163-9C16-4406-986F-71A4597D0038}"/>
    <cellStyle name="Accent4 19" xfId="873" xr:uid="{B1738B51-D736-41B4-AD54-B466A6EEABF1}"/>
    <cellStyle name="Accent4 2" xfId="874" xr:uid="{6DB620AB-37F8-452B-B52A-C6AB4DF37D42}"/>
    <cellStyle name="Accent4 20" xfId="875" xr:uid="{0EDE9BF9-5098-4894-A45F-00620B40B31F}"/>
    <cellStyle name="Accent4 21" xfId="876" xr:uid="{F0894BEB-5910-4750-A341-94ADDE6A75F0}"/>
    <cellStyle name="Accent4 22" xfId="877" xr:uid="{EF567060-2CC4-4357-840B-ACA47CF63EE3}"/>
    <cellStyle name="Accent4 23" xfId="878" xr:uid="{1ED7784E-AD16-4334-9DE0-7898253326A9}"/>
    <cellStyle name="Accent4 24" xfId="879" xr:uid="{DCA5FF29-0989-4F2F-A9F5-4A443FB9B32B}"/>
    <cellStyle name="Accent4 25" xfId="880" xr:uid="{95678E1F-B3A6-4F89-A433-89A79FA8A850}"/>
    <cellStyle name="Accent4 26" xfId="881" xr:uid="{50D76E25-EE8A-4C42-B746-F017E294797C}"/>
    <cellStyle name="Accent4 27" xfId="882" xr:uid="{6FC3F72C-92D8-4F01-B144-C24DE2EB3896}"/>
    <cellStyle name="Accent4 28" xfId="883" xr:uid="{1BCCD5DE-DE15-4B55-939E-FA2EE41FECBF}"/>
    <cellStyle name="Accent4 29" xfId="884" xr:uid="{17092EA4-59B9-49A6-BDBD-A2DEE4C54A47}"/>
    <cellStyle name="Accent4 3" xfId="885" xr:uid="{F5DFFDEC-360C-4F6E-A093-13FDA7AA2D86}"/>
    <cellStyle name="Accent4 30" xfId="886" xr:uid="{AB656386-C4A0-4E30-9DA7-6AEADE99697C}"/>
    <cellStyle name="Accent4 31" xfId="887" xr:uid="{56AF403E-1C06-45F3-AEEB-13BC648A5F5A}"/>
    <cellStyle name="Accent4 32" xfId="888" xr:uid="{99512DD3-7180-4629-BDA1-A47D866D4E93}"/>
    <cellStyle name="Accent4 33" xfId="889" xr:uid="{C4A3606E-4472-4CB9-B2D6-F95BBB293E7F}"/>
    <cellStyle name="Accent4 34" xfId="890" xr:uid="{35AF5AC5-3485-4A54-B1AE-38A4F708C81C}"/>
    <cellStyle name="Accent4 35" xfId="891" xr:uid="{D4BB52D3-AF89-4905-B67E-3A81CFCE6C5A}"/>
    <cellStyle name="Accent4 36" xfId="892" xr:uid="{44EFFE90-9B4C-4708-B984-A497496F4C87}"/>
    <cellStyle name="Accent4 37" xfId="893" xr:uid="{A6A77F46-52A7-49B7-8DDA-EC7DB37EC356}"/>
    <cellStyle name="Accent4 4" xfId="894" xr:uid="{242BD7EA-4ADA-44CA-882F-AAEDA21679CA}"/>
    <cellStyle name="Accent4 5" xfId="895" xr:uid="{A96CB148-CF25-4C90-98A4-E0F900BE0C18}"/>
    <cellStyle name="Accent4 6" xfId="896" xr:uid="{D39FBB09-4943-43C8-9CEB-C5EADFC6663C}"/>
    <cellStyle name="Accent4 7" xfId="897" xr:uid="{8326B3EE-FB70-4D25-8019-D5C22D4560A4}"/>
    <cellStyle name="Accent4 8" xfId="898" xr:uid="{91932789-1193-418F-A7D4-2BB2917E9223}"/>
    <cellStyle name="Accent4 9" xfId="899" xr:uid="{13657E26-F45C-44BC-9DDE-20BD5BA1C676}"/>
    <cellStyle name="Accent5 10" xfId="900" xr:uid="{ADB1B4EB-3505-4426-A6AB-EF88BA285CF8}"/>
    <cellStyle name="Accent5 11" xfId="901" xr:uid="{D69D0156-B68C-4611-BCD0-72297FBBDCE9}"/>
    <cellStyle name="Accent5 12" xfId="902" xr:uid="{76B45C4F-68F4-4DCE-AA51-A46250A5261B}"/>
    <cellStyle name="Accent5 13" xfId="903" xr:uid="{1506A6B5-EB2A-4642-B20C-755DD81A39AD}"/>
    <cellStyle name="Accent5 14" xfId="904" xr:uid="{53F7D50C-C6E7-4367-BA51-78007CF41E32}"/>
    <cellStyle name="Accent5 15" xfId="905" xr:uid="{2D32CFCE-C840-44BF-A288-E2789CA46C5A}"/>
    <cellStyle name="Accent5 16" xfId="906" xr:uid="{16EB4975-75DF-4301-A506-F4FB8B1D9867}"/>
    <cellStyle name="Accent5 17" xfId="907" xr:uid="{BCB89FD9-16F8-4759-AA96-612EC75265E8}"/>
    <cellStyle name="Accent5 18" xfId="908" xr:uid="{6B3D1582-67F3-45A2-94E2-5A1183CA7E77}"/>
    <cellStyle name="Accent5 19" xfId="909" xr:uid="{3DE1E486-CBDA-4BD8-9640-4E4C08522514}"/>
    <cellStyle name="Accent5 2" xfId="910" xr:uid="{E22355B1-7DBC-4D1A-8618-0F26F465A7A3}"/>
    <cellStyle name="Accent5 20" xfId="911" xr:uid="{C7773BA4-CBF2-460F-BBEE-6F025FCEA013}"/>
    <cellStyle name="Accent5 21" xfId="912" xr:uid="{2F0C4CC5-0625-4828-870F-B308A60C4527}"/>
    <cellStyle name="Accent5 22" xfId="913" xr:uid="{06202E85-569C-47E5-9295-00B2F2B9E083}"/>
    <cellStyle name="Accent5 23" xfId="914" xr:uid="{E241D4E2-46C7-4F8E-9480-AA168F75BFB4}"/>
    <cellStyle name="Accent5 24" xfId="915" xr:uid="{0E40783D-C04E-4F7F-A465-ABDFBD9F38C2}"/>
    <cellStyle name="Accent5 25" xfId="916" xr:uid="{AC570DF3-0819-47B4-B466-12AA3A8DE8A0}"/>
    <cellStyle name="Accent5 26" xfId="917" xr:uid="{D4A20EDB-77EE-4A60-A813-7554CA704E36}"/>
    <cellStyle name="Accent5 27" xfId="918" xr:uid="{2F09F49C-13DB-454B-926E-D4026CC8480C}"/>
    <cellStyle name="Accent5 28" xfId="919" xr:uid="{919C0EB1-0205-4B64-87FD-176BC6790EC5}"/>
    <cellStyle name="Accent5 29" xfId="920" xr:uid="{B540FDE3-293A-417C-BAE5-98915D09D2D1}"/>
    <cellStyle name="Accent5 3" xfId="921" xr:uid="{942BC88A-6CC1-4F6A-8590-6D3BD6317969}"/>
    <cellStyle name="Accent5 30" xfId="922" xr:uid="{A7EAAC4B-5D5C-460D-A2D6-25A9A8C607BD}"/>
    <cellStyle name="Accent5 31" xfId="923" xr:uid="{34DAD684-4901-4C77-9B01-2E176DAA01F7}"/>
    <cellStyle name="Accent5 32" xfId="924" xr:uid="{0D4A3B4F-023A-466A-946D-E6BD71F2D1F1}"/>
    <cellStyle name="Accent5 33" xfId="925" xr:uid="{84196C52-2EF2-4494-B1AD-2D016212662E}"/>
    <cellStyle name="Accent5 34" xfId="926" xr:uid="{E53585DD-0995-446A-BE6A-A76864BFB945}"/>
    <cellStyle name="Accent5 35" xfId="927" xr:uid="{A3BFD3E4-8C31-47D1-852C-1C31D319DCAB}"/>
    <cellStyle name="Accent5 36" xfId="928" xr:uid="{93B22B35-70D7-4FC5-BC8F-0FD978D04614}"/>
    <cellStyle name="Accent5 37" xfId="929" xr:uid="{302B2E25-1AC2-4720-8E64-835CDC037DD5}"/>
    <cellStyle name="Accent5 4" xfId="930" xr:uid="{50D37C2F-C073-4A40-8935-96CAA6474666}"/>
    <cellStyle name="Accent5 5" xfId="931" xr:uid="{C370B466-CAD5-4770-B2F4-31D53F0ED18E}"/>
    <cellStyle name="Accent5 6" xfId="932" xr:uid="{CD3ADA84-E83D-4D37-BAD2-4378142727A1}"/>
    <cellStyle name="Accent5 7" xfId="933" xr:uid="{8ECE5602-F9CA-491F-AAC1-0D765DC1965F}"/>
    <cellStyle name="Accent5 8" xfId="934" xr:uid="{FCC94993-CA69-41C7-95F4-308AC11E2C6C}"/>
    <cellStyle name="Accent5 9" xfId="935" xr:uid="{A3661431-BC63-45B3-8580-5F51F83669B3}"/>
    <cellStyle name="Accent6 10" xfId="936" xr:uid="{9297E17D-3ED7-4129-993A-01D33F9589A8}"/>
    <cellStyle name="Accent6 11" xfId="937" xr:uid="{37EFECDD-21CB-4B8A-A737-6CE32BE74A87}"/>
    <cellStyle name="Accent6 12" xfId="938" xr:uid="{DA455BC0-4AE4-491F-BF5D-C53C85857CA4}"/>
    <cellStyle name="Accent6 13" xfId="939" xr:uid="{A0E31DD7-FFAE-407D-9A37-55FEEDE91E0C}"/>
    <cellStyle name="Accent6 14" xfId="940" xr:uid="{D6033BD8-6AB4-4799-A1CB-4D8C9BFE7C1C}"/>
    <cellStyle name="Accent6 15" xfId="941" xr:uid="{3C428553-AA06-4B93-8EEE-D013201A0F6C}"/>
    <cellStyle name="Accent6 16" xfId="942" xr:uid="{1AF12385-D913-4BC8-8AA7-646A3FB0424D}"/>
    <cellStyle name="Accent6 17" xfId="943" xr:uid="{4B87564E-1C6D-4FAF-9D22-25C9300D068B}"/>
    <cellStyle name="Accent6 18" xfId="944" xr:uid="{0688AB9C-ED7D-4554-9944-01CDE5B3DC4D}"/>
    <cellStyle name="Accent6 19" xfId="945" xr:uid="{AAA1149A-C474-4BF7-932C-B6D145F4F582}"/>
    <cellStyle name="Accent6 2" xfId="946" xr:uid="{60F149A1-5DD9-4E4D-BC7F-1FDD8F4E3556}"/>
    <cellStyle name="Accent6 20" xfId="947" xr:uid="{670A3BCE-7867-4978-B4A7-DFB62CBFE464}"/>
    <cellStyle name="Accent6 21" xfId="948" xr:uid="{4C812556-F592-44CB-B514-BEEE1FD693A1}"/>
    <cellStyle name="Accent6 22" xfId="949" xr:uid="{EBF3BE04-8B5E-4695-AA33-54CD2C7F3CB0}"/>
    <cellStyle name="Accent6 23" xfId="950" xr:uid="{CEA361EC-3290-4FD4-A1D2-C73CC88B7E56}"/>
    <cellStyle name="Accent6 24" xfId="951" xr:uid="{899DA4EC-C7A2-4835-A5C9-E67637EB49DC}"/>
    <cellStyle name="Accent6 25" xfId="952" xr:uid="{66817C40-9A30-4BCF-8CD1-1512607E511A}"/>
    <cellStyle name="Accent6 26" xfId="953" xr:uid="{34E69FB0-AD2B-4933-BD12-26EA97329FDA}"/>
    <cellStyle name="Accent6 27" xfId="954" xr:uid="{54F30061-3465-43E6-9243-82D7960BB558}"/>
    <cellStyle name="Accent6 28" xfId="955" xr:uid="{7DDA9410-97ED-46A7-B864-2EF406F721BA}"/>
    <cellStyle name="Accent6 29" xfId="956" xr:uid="{C8686CE7-08ED-4460-A4D5-A0CFA63C47CA}"/>
    <cellStyle name="Accent6 3" xfId="957" xr:uid="{176973FF-0006-4893-9424-DF780F8ED3F8}"/>
    <cellStyle name="Accent6 30" xfId="958" xr:uid="{8C0B17C9-7B21-4F7A-8735-16B09B65B994}"/>
    <cellStyle name="Accent6 31" xfId="959" xr:uid="{9F8AD2A0-F63B-479B-A72C-F124F57043CF}"/>
    <cellStyle name="Accent6 32" xfId="960" xr:uid="{99284A4D-A800-4E9A-80A5-FE9EEAA44949}"/>
    <cellStyle name="Accent6 33" xfId="961" xr:uid="{09F3228A-6450-4299-BB27-7F8EC99447DD}"/>
    <cellStyle name="Accent6 34" xfId="962" xr:uid="{B7C5DBD5-674E-4971-830F-6EB85DB70AC1}"/>
    <cellStyle name="Accent6 35" xfId="963" xr:uid="{A9B94757-CA0F-4DE5-B60E-D2A0BEA41097}"/>
    <cellStyle name="Accent6 36" xfId="964" xr:uid="{6896E31B-B115-4619-96D6-7FEDD4B3392C}"/>
    <cellStyle name="Accent6 37" xfId="965" xr:uid="{6F9814B4-3749-44DD-90A0-F8F4DF9EE965}"/>
    <cellStyle name="Accent6 4" xfId="966" xr:uid="{BB0B477A-1F1F-412B-B8D3-97F5D223FDEA}"/>
    <cellStyle name="Accent6 5" xfId="967" xr:uid="{6EA51816-0107-4C97-851A-4D936696A9DB}"/>
    <cellStyle name="Accent6 6" xfId="968" xr:uid="{450832BA-D9D7-4F2A-8280-C58170646765}"/>
    <cellStyle name="Accent6 7" xfId="969" xr:uid="{D1E222EF-09B2-4073-B7EB-B488F11A80FF}"/>
    <cellStyle name="Accent6 8" xfId="970" xr:uid="{288DFE16-B562-46BB-9155-A3BA58B7769F}"/>
    <cellStyle name="Accent6 9" xfId="971" xr:uid="{494E7E9C-B654-4689-94D2-198BB45731AA}"/>
    <cellStyle name="Assumption" xfId="1868" xr:uid="{B817CDBA-420D-4FDD-AA32-B73290BF1C52}"/>
    <cellStyle name="Bad 10" xfId="972" xr:uid="{1B60281F-2DFB-480A-A9B2-92EC9BE2E680}"/>
    <cellStyle name="Bad 11" xfId="973" xr:uid="{CD231A76-AF67-4DA0-BC44-7CDCDC193738}"/>
    <cellStyle name="Bad 12" xfId="974" xr:uid="{4F2BA782-2532-41E9-A649-6B1EA7E68BBD}"/>
    <cellStyle name="Bad 13" xfId="975" xr:uid="{706B5DA9-B5E9-4E06-98EE-C5E3678F89F5}"/>
    <cellStyle name="Bad 14" xfId="976" xr:uid="{B46C6A58-B36F-42FA-B41F-031564492960}"/>
    <cellStyle name="Bad 15" xfId="977" xr:uid="{85E9B440-5F81-4447-A35C-67845515AD04}"/>
    <cellStyle name="Bad 16" xfId="978" xr:uid="{787CE5FA-FB2F-4950-B31C-E9D6896AF613}"/>
    <cellStyle name="Bad 17" xfId="979" xr:uid="{01D7606B-1B21-4400-8AD6-18E34BD0FEA3}"/>
    <cellStyle name="Bad 18" xfId="980" xr:uid="{D46342A7-A5A5-4E75-A0D4-0AAECDD07BD6}"/>
    <cellStyle name="Bad 19" xfId="981" xr:uid="{617101DB-7A2D-4F69-B68C-638A3EFC554E}"/>
    <cellStyle name="Bad 2" xfId="982" xr:uid="{D61E4C9A-B9C8-48CF-9782-22AFB5F1EB47}"/>
    <cellStyle name="Bad 20" xfId="983" xr:uid="{C8D9E82F-43E8-416A-9BB7-A2437035055B}"/>
    <cellStyle name="Bad 21" xfId="984" xr:uid="{72E1B7EE-B397-457B-A9D9-42E0B2B41B38}"/>
    <cellStyle name="Bad 22" xfId="985" xr:uid="{3B7D06C5-2E48-4DFD-80A2-0F9D9753C2CF}"/>
    <cellStyle name="Bad 23" xfId="986" xr:uid="{316BEFBA-608B-4260-AC15-1F91AAA54AE9}"/>
    <cellStyle name="Bad 24" xfId="987" xr:uid="{F8E62549-F927-4A67-B056-16BA8CD331D7}"/>
    <cellStyle name="Bad 25" xfId="988" xr:uid="{8AF89336-816B-4CB0-A940-4FAA0492820C}"/>
    <cellStyle name="Bad 26" xfId="989" xr:uid="{D03CEF8D-0094-45AA-BBF8-FF1BF4B07B35}"/>
    <cellStyle name="Bad 27" xfId="990" xr:uid="{6AC6A786-5D8B-407F-9249-FD91D72A5FA0}"/>
    <cellStyle name="Bad 28" xfId="991" xr:uid="{E3C7A653-66F1-46CA-8B61-D8179422FFE7}"/>
    <cellStyle name="Bad 29" xfId="992" xr:uid="{DF292192-A631-45FD-A692-6B92BDA3A5B9}"/>
    <cellStyle name="Bad 3" xfId="993" xr:uid="{E5338FF5-2D35-4820-8544-51AC4950BE8E}"/>
    <cellStyle name="Bad 30" xfId="994" xr:uid="{D370B8C5-0524-4DBB-9E43-A4E4DCF281F4}"/>
    <cellStyle name="Bad 31" xfId="995" xr:uid="{4E587485-3D2F-42C1-873F-FAB829DA8B53}"/>
    <cellStyle name="Bad 32" xfId="996" xr:uid="{798CD8BD-9F62-4931-BCC7-B489241B5A93}"/>
    <cellStyle name="Bad 33" xfId="997" xr:uid="{1A6FBAA6-9475-4704-BB31-407AE1776261}"/>
    <cellStyle name="Bad 34" xfId="998" xr:uid="{B23A9BC0-6737-4A8C-B19D-E38AE252DFAB}"/>
    <cellStyle name="Bad 35" xfId="999" xr:uid="{76788D12-4C14-4F6E-8177-69219EA877CA}"/>
    <cellStyle name="Bad 36" xfId="1000" xr:uid="{3A641DD7-CD62-47AD-92DE-89C4DC43C092}"/>
    <cellStyle name="Bad 37" xfId="1001" xr:uid="{47974133-3F60-4809-A70E-0977347BC26F}"/>
    <cellStyle name="Bad 4" xfId="1002" xr:uid="{242D36C7-0991-4B23-A998-340F3D86B91F}"/>
    <cellStyle name="Bad 5" xfId="1003" xr:uid="{019518FE-3C88-4B7A-8275-9916AFFDA9AC}"/>
    <cellStyle name="Bad 6" xfId="1004" xr:uid="{7BF39D70-0F9F-43FE-8499-9E73BBB43C48}"/>
    <cellStyle name="Bad 7" xfId="1005" xr:uid="{A3ED5BCD-9D04-4D3E-92CE-941B71721FF4}"/>
    <cellStyle name="Bad 8" xfId="1006" xr:uid="{3CD6BD89-B03A-49B5-95E0-3CA001206F19}"/>
    <cellStyle name="Bad 9" xfId="1007" xr:uid="{88A81EBF-09AC-4D3D-B105-C66DA2DB4D11}"/>
    <cellStyle name="Calc Currency (0)" xfId="1869" xr:uid="{8A5557AF-E1EF-44A4-862A-8C3B5A38841D}"/>
    <cellStyle name="Calc Currency (0) 10" xfId="1870" xr:uid="{C4F95980-9049-493D-BF92-5AB8DEEFD622}"/>
    <cellStyle name="Calc Currency (0) 11" xfId="1871" xr:uid="{BAB665AE-AD54-4E25-9A93-9692BC309EDE}"/>
    <cellStyle name="Calc Currency (0) 2" xfId="1872" xr:uid="{1DFDA83C-5EF6-4AD0-BB92-AB51BF5B41F3}"/>
    <cellStyle name="Calc Currency (0) 2 2" xfId="2437" xr:uid="{B2E1964E-5B6F-4726-85C3-113E649DC91F}"/>
    <cellStyle name="Calc Currency (0) 3" xfId="1873" xr:uid="{801D7CEA-3F30-41C7-80E8-F46DF4A867C0}"/>
    <cellStyle name="Calc Currency (0) 3 2" xfId="2438" xr:uid="{6B86BD27-3757-4A81-A13F-E5E72C03D347}"/>
    <cellStyle name="Calc Currency (0) 4" xfId="1874" xr:uid="{A0315E19-D2C5-4707-B514-A17804365372}"/>
    <cellStyle name="Calc Currency (0) 4 2" xfId="2439" xr:uid="{7E1F430D-A911-41C7-A892-88DD5037524D}"/>
    <cellStyle name="Calc Currency (0) 5" xfId="1875" xr:uid="{A4B16820-954D-49DF-A8EA-4594D4EC68AE}"/>
    <cellStyle name="Calc Currency (0) 5 2" xfId="2440" xr:uid="{B787449C-4769-4278-A531-106B705AEEFE}"/>
    <cellStyle name="Calc Currency (0) 6" xfId="1876" xr:uid="{427BA3CB-4BF9-4383-8F6D-C3C3459B7E3E}"/>
    <cellStyle name="Calc Currency (0) 7" xfId="1877" xr:uid="{2793CBCD-58B9-4447-8645-A842ADEE3EE2}"/>
    <cellStyle name="Calc Currency (0) 8" xfId="1878" xr:uid="{36685F63-43E0-4EEE-8D88-FABAABCD37CC}"/>
    <cellStyle name="Calc Currency (0) 9" xfId="1879" xr:uid="{92EB4042-02EB-4323-8AC0-E674A15CB36A}"/>
    <cellStyle name="Calc Currency (2)" xfId="1880" xr:uid="{8B3B8D57-ED46-4160-BDA4-E73EEDCA4172}"/>
    <cellStyle name="Calc Currency (2) 10" xfId="1881" xr:uid="{A4A5744A-3782-485B-A8DF-09092BEA8700}"/>
    <cellStyle name="Calc Currency (2) 11" xfId="1882" xr:uid="{C7854CEB-CB62-4E53-A19C-4E95E153AE0F}"/>
    <cellStyle name="Calc Currency (2) 2" xfId="1883" xr:uid="{572E9B2A-5904-4D68-8EE5-A1CD621F9249}"/>
    <cellStyle name="Calc Currency (2) 2 2" xfId="2441" xr:uid="{310DD472-E9F6-4E95-8C3E-FC94054CE395}"/>
    <cellStyle name="Calc Currency (2) 3" xfId="1884" xr:uid="{8CB73352-F549-49E9-A85B-70390B659397}"/>
    <cellStyle name="Calc Currency (2) 3 2" xfId="2442" xr:uid="{9665019F-2C10-4378-893C-C03AE4A417AC}"/>
    <cellStyle name="Calc Currency (2) 4" xfId="1885" xr:uid="{860F13F6-73F6-4E6A-B3FC-F8D49525B6B8}"/>
    <cellStyle name="Calc Currency (2) 4 2" xfId="2443" xr:uid="{3F198B84-8684-4A50-B648-679574EFDE6A}"/>
    <cellStyle name="Calc Currency (2) 5" xfId="1886" xr:uid="{16860238-051E-4064-9173-887E7D0C106A}"/>
    <cellStyle name="Calc Currency (2) 5 2" xfId="2444" xr:uid="{7A468AE6-9924-441E-8A36-10D55737EB54}"/>
    <cellStyle name="Calc Currency (2) 6" xfId="1887" xr:uid="{A3D43E1F-DF7E-4F98-80E0-85EF0284FAD6}"/>
    <cellStyle name="Calc Currency (2) 7" xfId="1888" xr:uid="{55037736-8631-4554-852E-06CAA3DB9867}"/>
    <cellStyle name="Calc Currency (2) 8" xfId="1889" xr:uid="{F33C6C6C-8DA9-4902-A473-C4914896920D}"/>
    <cellStyle name="Calc Currency (2) 9" xfId="1890" xr:uid="{2018C4BF-012A-4135-962F-B1084036261A}"/>
    <cellStyle name="Calc Percent (0)" xfId="1891" xr:uid="{87AE0115-B743-4BE1-B2A7-ED66189AD4FC}"/>
    <cellStyle name="Calc Percent (0) 10" xfId="1892" xr:uid="{D928C882-6C61-422F-9971-28FC822541A9}"/>
    <cellStyle name="Calc Percent (0) 11" xfId="1893" xr:uid="{9B110667-7D5E-4DF8-A7FD-761898EF38BD}"/>
    <cellStyle name="Calc Percent (0) 2" xfId="1894" xr:uid="{97A4CA9A-9736-4A72-B097-9F5309D81CD8}"/>
    <cellStyle name="Calc Percent (0) 2 2" xfId="2445" xr:uid="{10D62BED-15D5-4AEE-8889-6A624D80C6A6}"/>
    <cellStyle name="Calc Percent (0) 3" xfId="1895" xr:uid="{C6A12046-3F3B-4184-8274-4FB1D9BA0D8D}"/>
    <cellStyle name="Calc Percent (0) 3 2" xfId="2446" xr:uid="{930D1E57-FBE9-416B-B761-ABACEA6EE746}"/>
    <cellStyle name="Calc Percent (0) 4" xfId="1896" xr:uid="{43668E6B-C3DC-4F45-9A7D-BC256BFD4486}"/>
    <cellStyle name="Calc Percent (0) 4 2" xfId="2447" xr:uid="{9EB1B7E4-4DD7-4FEA-BD09-5204456657EA}"/>
    <cellStyle name="Calc Percent (0) 5" xfId="1897" xr:uid="{0F82CA36-82AC-407B-8015-41A97D2DFBD1}"/>
    <cellStyle name="Calc Percent (0) 5 2" xfId="2448" xr:uid="{A3C9B477-F0EE-4999-9BEE-9B553DDB638E}"/>
    <cellStyle name="Calc Percent (0) 6" xfId="1898" xr:uid="{4B7FF61B-8D56-4395-9D3D-0880DD8AC54C}"/>
    <cellStyle name="Calc Percent (0) 7" xfId="1899" xr:uid="{46637E8A-0733-4AEC-BE0B-5CA4FB66500D}"/>
    <cellStyle name="Calc Percent (0) 8" xfId="1900" xr:uid="{8EEE0D1F-760F-48B4-846C-07F95A45F497}"/>
    <cellStyle name="Calc Percent (0) 9" xfId="1901" xr:uid="{7E8CD436-C673-442B-BD2C-27B78996DFE7}"/>
    <cellStyle name="Calc Percent (1)" xfId="1902" xr:uid="{5054EA0D-5C1A-4ED5-8DDC-30DDEB58BBAA}"/>
    <cellStyle name="Calc Percent (1) 10" xfId="1903" xr:uid="{BFAE33CA-E257-47A7-9FFB-183A5802EC70}"/>
    <cellStyle name="Calc Percent (1) 11" xfId="1904" xr:uid="{915A2FA0-2D8D-43D5-B47E-A29A46A60106}"/>
    <cellStyle name="Calc Percent (1) 2" xfId="1905" xr:uid="{75FA093C-A29A-451F-8804-1E1B66E7D427}"/>
    <cellStyle name="Calc Percent (1) 2 2" xfId="2449" xr:uid="{1D0D93EF-087F-48D9-B381-2334325081D4}"/>
    <cellStyle name="Calc Percent (1) 3" xfId="1906" xr:uid="{37AF2D87-1590-4864-93DE-0E3CB393D182}"/>
    <cellStyle name="Calc Percent (1) 3 2" xfId="2450" xr:uid="{36AA72AF-1332-4B86-A67C-1EA12AB69424}"/>
    <cellStyle name="Calc Percent (1) 4" xfId="1907" xr:uid="{03632610-D3C1-4A73-9446-E2F2D4EFA9DE}"/>
    <cellStyle name="Calc Percent (1) 4 2" xfId="2451" xr:uid="{A7C18839-1D28-4B2D-AC01-C41F73C4A6FA}"/>
    <cellStyle name="Calc Percent (1) 5" xfId="1908" xr:uid="{BBB532BD-9CF5-4091-993A-76491547BC78}"/>
    <cellStyle name="Calc Percent (1) 5 2" xfId="2452" xr:uid="{E46FF891-73D3-42B1-A13E-03E2A34C70FE}"/>
    <cellStyle name="Calc Percent (1) 6" xfId="1909" xr:uid="{53004879-C92C-4BB9-B725-F632B9B7BC9A}"/>
    <cellStyle name="Calc Percent (1) 7" xfId="1910" xr:uid="{78370314-E45F-46C5-8E98-02D4937D1215}"/>
    <cellStyle name="Calc Percent (1) 8" xfId="1911" xr:uid="{768F0931-28BA-473A-92D8-EBDFAC9831D6}"/>
    <cellStyle name="Calc Percent (1) 9" xfId="1912" xr:uid="{6BE3217C-90C3-4AD0-9480-B408546BBB9D}"/>
    <cellStyle name="Calc Percent (2)" xfId="1913" xr:uid="{BA721160-61E0-44B3-9B7F-E086666301EF}"/>
    <cellStyle name="Calc Percent (2) 10" xfId="1914" xr:uid="{AFCE32F1-52D6-485C-8FFA-D5B27382E1D3}"/>
    <cellStyle name="Calc Percent (2) 11" xfId="1915" xr:uid="{DFCB7093-8876-4A0C-8995-7586954E5868}"/>
    <cellStyle name="Calc Percent (2) 2" xfId="1916" xr:uid="{F32C471D-348E-4DB5-B35F-8D0D28D7BC7F}"/>
    <cellStyle name="Calc Percent (2) 3" xfId="1917" xr:uid="{17A2EDC2-F931-4DBD-A5E1-CA5A7C1E2D29}"/>
    <cellStyle name="Calc Percent (2) 4" xfId="1918" xr:uid="{0BC0C493-EBD1-4025-9682-BF84250C3A39}"/>
    <cellStyle name="Calc Percent (2) 5" xfId="1919" xr:uid="{AAE138C0-EBDF-47E1-BA5A-039C4B1B486D}"/>
    <cellStyle name="Calc Percent (2) 6" xfId="1920" xr:uid="{7B1A63CE-1721-4FA7-B1A4-1519D1C46079}"/>
    <cellStyle name="Calc Percent (2) 7" xfId="1921" xr:uid="{15D98D53-A1E9-47E0-A64F-BBC020567BCF}"/>
    <cellStyle name="Calc Percent (2) 8" xfId="1922" xr:uid="{E87D090A-9AF9-4591-9F5E-0766D851E63E}"/>
    <cellStyle name="Calc Percent (2) 9" xfId="1923" xr:uid="{E3B0729A-1A7F-4E4A-968D-0BEBD5E66AE2}"/>
    <cellStyle name="Calc Units (0)" xfId="1924" xr:uid="{D34D7F7E-12FA-4FCE-94E2-DC46044C6D37}"/>
    <cellStyle name="Calc Units (0) 10" xfId="1925" xr:uid="{C28A0F4D-3036-49EF-8BF7-5E31FCDEEB19}"/>
    <cellStyle name="Calc Units (0) 11" xfId="1926" xr:uid="{A4412DD0-1384-4026-BA9C-CA1895D8DC27}"/>
    <cellStyle name="Calc Units (0) 2" xfId="1927" xr:uid="{9EAE0E86-0DD6-4A22-B304-3D11E161DF15}"/>
    <cellStyle name="Calc Units (0) 2 2" xfId="2453" xr:uid="{5428C739-2538-421D-8D68-D738104F9A5E}"/>
    <cellStyle name="Calc Units (0) 3" xfId="1928" xr:uid="{C5674E56-B4C2-4727-AC04-2458E4D2564C}"/>
    <cellStyle name="Calc Units (0) 3 2" xfId="2454" xr:uid="{B7C61CF5-7627-4D98-8D32-99FD75E72A47}"/>
    <cellStyle name="Calc Units (0) 4" xfId="1929" xr:uid="{2E9F509C-5E2D-4129-93B5-07AE1243449C}"/>
    <cellStyle name="Calc Units (0) 4 2" xfId="2455" xr:uid="{EFE13ADB-D0E6-4D51-861D-2E6D186BAB54}"/>
    <cellStyle name="Calc Units (0) 5" xfId="1930" xr:uid="{D0D5C4FF-D5F2-4265-A215-9F1FA9B4A104}"/>
    <cellStyle name="Calc Units (0) 5 2" xfId="2456" xr:uid="{53DA8BA9-28A2-4881-8751-741B522B3997}"/>
    <cellStyle name="Calc Units (0) 6" xfId="1931" xr:uid="{DFE6F231-8863-4EE9-B47A-E1968EAD5BFE}"/>
    <cellStyle name="Calc Units (0) 7" xfId="1932" xr:uid="{0566E951-785D-49D6-8F9C-81A6D4FD3B13}"/>
    <cellStyle name="Calc Units (0) 8" xfId="1933" xr:uid="{69A5B001-01C3-4CBF-8D0F-778B735037D3}"/>
    <cellStyle name="Calc Units (0) 9" xfId="1934" xr:uid="{B6D678B2-022D-4698-AEB9-FD992EA0200D}"/>
    <cellStyle name="Calc Units (1)" xfId="1935" xr:uid="{12AB7BBD-74FD-40B2-83D5-163543BE14D2}"/>
    <cellStyle name="Calc Units (1) 10" xfId="1936" xr:uid="{F99C4839-8D31-4101-8FD9-97BE28A03A1B}"/>
    <cellStyle name="Calc Units (1) 11" xfId="1937" xr:uid="{85C82456-4300-461A-B281-9E74E37AF072}"/>
    <cellStyle name="Calc Units (1) 2" xfId="1938" xr:uid="{74E445AA-1BF2-4489-B90E-A8CEE0718DCF}"/>
    <cellStyle name="Calc Units (1) 3" xfId="1939" xr:uid="{A22718E6-52A6-4A7F-A1E1-40400594AF13}"/>
    <cellStyle name="Calc Units (1) 4" xfId="1940" xr:uid="{9DC51AA9-72A6-46CB-9554-E91BBEE6AAC2}"/>
    <cellStyle name="Calc Units (1) 5" xfId="1941" xr:uid="{19F1B2D6-A82B-41D9-92BB-64449F1E2F05}"/>
    <cellStyle name="Calc Units (1) 6" xfId="1942" xr:uid="{A6A1533C-95E1-41D9-8A8F-C9B1F7505F41}"/>
    <cellStyle name="Calc Units (1) 7" xfId="1943" xr:uid="{420E6339-335A-4B66-96AA-C72BB385957C}"/>
    <cellStyle name="Calc Units (1) 8" xfId="1944" xr:uid="{BEA1FCD2-178E-4A08-BDB6-ADD1BB113DC6}"/>
    <cellStyle name="Calc Units (1) 9" xfId="1945" xr:uid="{777E50AA-5C18-4754-A592-54CF4354DC28}"/>
    <cellStyle name="Calc Units (2)" xfId="1946" xr:uid="{00581DA1-2A82-418E-9D67-AA2BA7E7B32F}"/>
    <cellStyle name="Calc Units (2) 10" xfId="1947" xr:uid="{1EDEAB21-FF0E-4944-B66C-AF50FBE334EF}"/>
    <cellStyle name="Calc Units (2) 11" xfId="1948" xr:uid="{FC2BE887-EBC4-40C0-BE8E-C120C0A81A6F}"/>
    <cellStyle name="Calc Units (2) 2" xfId="1949" xr:uid="{31003AC0-DFC3-40E7-A135-0F113AC341E1}"/>
    <cellStyle name="Calc Units (2) 2 2" xfId="2457" xr:uid="{8A1EABB6-9A85-4EEF-B421-CBCFEE02BC52}"/>
    <cellStyle name="Calc Units (2) 3" xfId="1950" xr:uid="{9FE71611-3913-40F1-9920-A3D6A5FE7FAE}"/>
    <cellStyle name="Calc Units (2) 3 2" xfId="2458" xr:uid="{8D7EC326-9194-486F-80F4-5442554BE448}"/>
    <cellStyle name="Calc Units (2) 4" xfId="1951" xr:uid="{C3D8E136-A36C-490F-B1CF-D33DC17209DE}"/>
    <cellStyle name="Calc Units (2) 4 2" xfId="2459" xr:uid="{1ADF1A91-1000-4B45-A087-B1A920DEC4FC}"/>
    <cellStyle name="Calc Units (2) 5" xfId="1952" xr:uid="{5707CB44-011D-4CD1-94B2-20C654E69FDB}"/>
    <cellStyle name="Calc Units (2) 5 2" xfId="2460" xr:uid="{EBDE79AB-3934-49CD-AFF3-6335F92B05D9}"/>
    <cellStyle name="Calc Units (2) 6" xfId="1953" xr:uid="{9B8F0F05-EA97-48E5-A8E9-3F2A3CF54793}"/>
    <cellStyle name="Calc Units (2) 7" xfId="1954" xr:uid="{3A0D402E-073A-4953-AEF4-05695C7C0E91}"/>
    <cellStyle name="Calc Units (2) 8" xfId="1955" xr:uid="{1A2DC593-1272-4375-8375-F52EAE98E231}"/>
    <cellStyle name="Calc Units (2) 9" xfId="1956" xr:uid="{99FB9C79-5539-49A5-91C0-D2B94CC64E7D}"/>
    <cellStyle name="Calculated - 2 dec" xfId="1957" xr:uid="{21AFEED4-2501-4B8F-8B3E-FD8EF6407387}"/>
    <cellStyle name="Calculated - 3 dec" xfId="1958" xr:uid="{F13065BC-BBEA-41CD-9A82-4C9A44CFA257}"/>
    <cellStyle name="Calculated - no dec" xfId="1959" xr:uid="{A41A7DC7-D4E3-4838-B3C3-9DF1F2626A98}"/>
    <cellStyle name="Calculation 10" xfId="1008" xr:uid="{BE65E07B-B948-4E6E-BE6C-6E51F023F824}"/>
    <cellStyle name="Calculation 11" xfId="1009" xr:uid="{EEED09CF-DC6B-4DBC-A432-D58A799E496B}"/>
    <cellStyle name="Calculation 12" xfId="1010" xr:uid="{B137F201-7FB8-45AE-82D7-3C40325191D8}"/>
    <cellStyle name="Calculation 13" xfId="1011" xr:uid="{4D7570D9-6B23-4748-B678-74BA7D6CE854}"/>
    <cellStyle name="Calculation 14" xfId="1012" xr:uid="{5945544B-F3CE-4921-BCD5-622AE85BD5D7}"/>
    <cellStyle name="Calculation 15" xfId="1013" xr:uid="{CCC75A7A-38F6-423B-A9E2-06D74A0186C9}"/>
    <cellStyle name="Calculation 16" xfId="1014" xr:uid="{933999BA-4F15-447E-A5B1-03792B1BD457}"/>
    <cellStyle name="Calculation 17" xfId="1015" xr:uid="{68C963B5-5232-42AA-9A63-F610360BADEF}"/>
    <cellStyle name="Calculation 18" xfId="1016" xr:uid="{63BDCF74-54BF-4A52-B543-6F084CDAFA9D}"/>
    <cellStyle name="Calculation 19" xfId="1017" xr:uid="{5D8B4C22-CE04-4A86-B889-E75B45BDC130}"/>
    <cellStyle name="Calculation 2" xfId="1018" xr:uid="{72FFA15C-1AE5-43B0-A705-10ACBD110DA9}"/>
    <cellStyle name="Calculation 20" xfId="1019" xr:uid="{7D1B2558-1F3B-483D-8D46-71838D9580E0}"/>
    <cellStyle name="Calculation 21" xfId="1020" xr:uid="{00CE83AB-B503-4D6D-8B5E-77C5BC8012E9}"/>
    <cellStyle name="Calculation 22" xfId="1021" xr:uid="{3E7378C9-F914-4DAA-941E-7FFCFB8F604E}"/>
    <cellStyle name="Calculation 23" xfId="1022" xr:uid="{E3811BB2-2768-4440-888A-7FAB3EE16957}"/>
    <cellStyle name="Calculation 24" xfId="1023" xr:uid="{0558AA21-4AAE-4B8D-BD91-6645210E0B4A}"/>
    <cellStyle name="Calculation 25" xfId="1024" xr:uid="{6F0AC6A9-E418-49D0-8B13-451BAE1F0634}"/>
    <cellStyle name="Calculation 26" xfId="1025" xr:uid="{1A0D9F17-E50C-4154-BD0D-266F53AA223F}"/>
    <cellStyle name="Calculation 27" xfId="1026" xr:uid="{860F2EB2-F0AE-469E-8095-9A6BE6546A5A}"/>
    <cellStyle name="Calculation 28" xfId="1027" xr:uid="{9668AEE3-D1D0-40A2-9C4D-61062CDE7B00}"/>
    <cellStyle name="Calculation 29" xfId="1028" xr:uid="{FDAC00D1-0ECE-467E-9772-06790E880CF5}"/>
    <cellStyle name="Calculation 3" xfId="1029" xr:uid="{CDF16BB8-8955-4B77-A716-71E27A58E032}"/>
    <cellStyle name="Calculation 30" xfId="1030" xr:uid="{A8D9B7F9-0511-442A-B723-E2555572CB62}"/>
    <cellStyle name="Calculation 31" xfId="1031" xr:uid="{ACCF43C2-5B6F-482C-AAAF-5A8245E0031F}"/>
    <cellStyle name="Calculation 32" xfId="1032" xr:uid="{26ACBCB2-BDEB-47F3-AE65-850AB562399D}"/>
    <cellStyle name="Calculation 33" xfId="1033" xr:uid="{550F8001-C6F4-4BAD-B601-DC953E5A6615}"/>
    <cellStyle name="Calculation 34" xfId="1034" xr:uid="{72EA780D-53CE-42F9-B69C-DF33138E2C5C}"/>
    <cellStyle name="Calculation 35" xfId="1035" xr:uid="{2984B1F2-C8E3-4931-ADC7-694786395B5B}"/>
    <cellStyle name="Calculation 36" xfId="1036" xr:uid="{3441A495-F306-4641-9476-AFC54CE58D64}"/>
    <cellStyle name="Calculation 37" xfId="1037" xr:uid="{2D657C14-2D90-4CBC-8EC4-58E6ECAFF4B4}"/>
    <cellStyle name="Calculation 4" xfId="1038" xr:uid="{38D3023F-41F8-44E5-B0A0-E81B45C1836C}"/>
    <cellStyle name="Calculation 5" xfId="1039" xr:uid="{4E428FD1-BC3B-4FDD-B9A8-B4B82311998D}"/>
    <cellStyle name="Calculation 6" xfId="1040" xr:uid="{EBEE0228-1102-4676-B8ED-33802382E647}"/>
    <cellStyle name="Calculation 7" xfId="1041" xr:uid="{9D0F0F0B-FD61-4C27-9267-E9E6DCC4DD0A}"/>
    <cellStyle name="Calculation 8" xfId="1042" xr:uid="{A73D732F-673A-4B7A-98D8-56B52FF578B4}"/>
    <cellStyle name="Calculation 9" xfId="1043" xr:uid="{4B565D8B-8A2E-4C07-86AB-C284AD03E393}"/>
    <cellStyle name="cárky [0]_laroux" xfId="1960" xr:uid="{2F1387B1-F474-4C85-83D1-6F09AA55163C}"/>
    <cellStyle name="cárky_laroux" xfId="1961" xr:uid="{ABB37044-641E-4AE7-8E59-B366031EFE04}"/>
    <cellStyle name="Cena" xfId="1962" xr:uid="{B66AD18B-5E8E-4977-B7DA-65D0B1155E41}"/>
    <cellStyle name="Check Cell 10" xfId="1044" xr:uid="{E53AED6E-6ED1-41B3-955B-96D772ABF312}"/>
    <cellStyle name="Check Cell 11" xfId="1045" xr:uid="{94C43ADB-4A5E-4028-BE94-72E8DEB9D96D}"/>
    <cellStyle name="Check Cell 12" xfId="1046" xr:uid="{D97D2E23-4EA9-4BE3-BE4D-3374F7657466}"/>
    <cellStyle name="Check Cell 13" xfId="1047" xr:uid="{3A507BAC-9323-4C58-B493-9B108D2B82A7}"/>
    <cellStyle name="Check Cell 14" xfId="1048" xr:uid="{456E39B0-89EF-4A02-8CFA-A6E20C7E6685}"/>
    <cellStyle name="Check Cell 15" xfId="1049" xr:uid="{F13911C8-1196-4E6D-AD11-AF960E73E393}"/>
    <cellStyle name="Check Cell 16" xfId="1050" xr:uid="{BF7821B7-799B-49D7-9E2E-EE7EF1438E01}"/>
    <cellStyle name="Check Cell 17" xfId="1051" xr:uid="{CD2994A6-BE36-4249-A46F-B21232BEE6DD}"/>
    <cellStyle name="Check Cell 18" xfId="1052" xr:uid="{398A16CA-3EE7-4DEE-926D-7123FD969604}"/>
    <cellStyle name="Check Cell 19" xfId="1053" xr:uid="{04349EFE-5E42-49B0-BBA7-EDCA0E084E95}"/>
    <cellStyle name="Check Cell 2" xfId="1054" xr:uid="{F98DC996-C647-4133-9A96-CD7B85A1897D}"/>
    <cellStyle name="Check Cell 20" xfId="1055" xr:uid="{EA113866-33E3-4E14-BBBA-F6548C000A57}"/>
    <cellStyle name="Check Cell 21" xfId="1056" xr:uid="{92E19DCE-67E3-40C1-B1BE-48CB374551F4}"/>
    <cellStyle name="Check Cell 22" xfId="1057" xr:uid="{0FD66421-3E46-4AF6-BBA7-7A36B8E842FF}"/>
    <cellStyle name="Check Cell 23" xfId="1058" xr:uid="{6C3A39C1-3D30-41F6-BA71-27586026308C}"/>
    <cellStyle name="Check Cell 24" xfId="1059" xr:uid="{13D6395B-D76B-405C-981D-7B0C4151FB35}"/>
    <cellStyle name="Check Cell 25" xfId="1060" xr:uid="{78942CFD-9498-47C8-919D-112BE8B87C20}"/>
    <cellStyle name="Check Cell 26" xfId="1061" xr:uid="{31A372E8-BE0B-464F-A6A3-DBBE9DEBE24C}"/>
    <cellStyle name="Check Cell 27" xfId="1062" xr:uid="{AF7F5AAF-A88A-45B3-8CAE-517EDE0589CA}"/>
    <cellStyle name="Check Cell 28" xfId="1063" xr:uid="{DCC8A571-5EF8-4CBA-B364-CE8E36F3EAA0}"/>
    <cellStyle name="Check Cell 29" xfId="1064" xr:uid="{0F84E2C3-EC18-4E68-B479-E5477E62B1AB}"/>
    <cellStyle name="Check Cell 3" xfId="1065" xr:uid="{CF7DE1ED-6803-4D46-BE76-63631A1D56A1}"/>
    <cellStyle name="Check Cell 30" xfId="1066" xr:uid="{C11F6FBF-2678-4315-8B7D-A2AD82482DC8}"/>
    <cellStyle name="Check Cell 31" xfId="1067" xr:uid="{F73666ED-FB6A-4852-A3EB-2EE29597D11C}"/>
    <cellStyle name="Check Cell 32" xfId="1068" xr:uid="{CFC02C4F-159A-4238-B216-D9DA5FE19D03}"/>
    <cellStyle name="Check Cell 33" xfId="1069" xr:uid="{C28D3CA1-77EA-42FC-B6AE-E07B2E6D0D4A}"/>
    <cellStyle name="Check Cell 34" xfId="1070" xr:uid="{09678928-EA81-4E5E-AC08-30BBAEE839C5}"/>
    <cellStyle name="Check Cell 35" xfId="1071" xr:uid="{AB8094AC-1263-47BD-978A-DE48A14BC3AD}"/>
    <cellStyle name="Check Cell 36" xfId="1072" xr:uid="{87884058-F273-4ABA-8634-57863288AFCC}"/>
    <cellStyle name="Check Cell 37" xfId="1073" xr:uid="{5C44FB25-16AD-45E4-8C8E-75D9CCEA66D7}"/>
    <cellStyle name="Check Cell 4" xfId="1074" xr:uid="{2BE9751A-EC37-4AE4-97F3-618584A93081}"/>
    <cellStyle name="Check Cell 5" xfId="1075" xr:uid="{199B65BE-DBEE-4BCE-BABA-F74244B78564}"/>
    <cellStyle name="Check Cell 6" xfId="1076" xr:uid="{4C4F0338-9C34-4E0A-BA9E-8C41C628C069}"/>
    <cellStyle name="Check Cell 7" xfId="1077" xr:uid="{3EAC3D86-883C-4403-A38B-A721E373E26C}"/>
    <cellStyle name="Check Cell 8" xfId="1078" xr:uid="{08C6C765-C826-4814-BF8D-CA3B8DE58E5E}"/>
    <cellStyle name="Check Cell 9" xfId="1079" xr:uid="{76608B1A-17C9-42A0-AA2F-B1A5702672FB}"/>
    <cellStyle name="Comma" xfId="1" builtinId="3"/>
    <cellStyle name="Comma  - Style1" xfId="1963" xr:uid="{DE1701A3-4B9B-4BED-9DBC-6CABE7C0F359}"/>
    <cellStyle name="Comma [00]" xfId="1964" xr:uid="{CD124D13-5197-4EA0-95F4-6BD029A9A4D8}"/>
    <cellStyle name="Comma [00] 10" xfId="1965" xr:uid="{B4605090-2A6A-4BD7-A377-866379DD1E15}"/>
    <cellStyle name="Comma [00] 11" xfId="1966" xr:uid="{10E40FB2-7A7D-4AA9-BF9A-3C04D1B64674}"/>
    <cellStyle name="Comma [00] 2" xfId="1967" xr:uid="{48B75011-6E22-413C-8B48-0E474112AA41}"/>
    <cellStyle name="Comma [00] 2 2" xfId="2461" xr:uid="{364C39D1-4C9B-4C19-9CFC-0E27F52318B7}"/>
    <cellStyle name="Comma [00] 3" xfId="1968" xr:uid="{8AE59F6F-6745-4F3D-B64C-9B62A7B789FF}"/>
    <cellStyle name="Comma [00] 3 2" xfId="2462" xr:uid="{050FD654-5D56-4270-8A53-8CD77E886FF7}"/>
    <cellStyle name="Comma [00] 4" xfId="1969" xr:uid="{B2275FE7-187D-4352-8EC6-5CBBF7F8BFBD}"/>
    <cellStyle name="Comma [00] 4 2" xfId="2463" xr:uid="{3DF6C37E-7699-46E6-A11A-AC745D4FD7B1}"/>
    <cellStyle name="Comma [00] 5" xfId="1970" xr:uid="{28C6F7BB-FE1B-4C1D-A404-67E66EFE72FC}"/>
    <cellStyle name="Comma [00] 5 2" xfId="2464" xr:uid="{3747F968-0D1C-4E49-8F0F-08D7F305E121}"/>
    <cellStyle name="Comma [00] 6" xfId="1971" xr:uid="{825B3D58-09F1-4D1A-85EC-96D65AA5EAC7}"/>
    <cellStyle name="Comma [00] 7" xfId="1972" xr:uid="{A9645D21-24CE-432D-8697-5B5745BB1186}"/>
    <cellStyle name="Comma [00] 8" xfId="1973" xr:uid="{58BC8B05-0277-4C97-86A0-E2374AF3170B}"/>
    <cellStyle name="Comma [00] 9" xfId="1974" xr:uid="{3C9F0AFC-815D-4498-B939-2158A81F416D}"/>
    <cellStyle name="Comma 10" xfId="4547" xr:uid="{3F223441-FD37-4FDF-9363-73F6DFCDB5C3}"/>
    <cellStyle name="Comma 10 2" xfId="4548" xr:uid="{1BA1B6D3-300B-4080-AE32-859FD558F817}"/>
    <cellStyle name="Comma 10 2 2" xfId="7583" xr:uid="{0CFC3CE2-2E50-4D13-ADA5-A82A9170D28E}"/>
    <cellStyle name="Comma 10 2 3" xfId="7898" xr:uid="{063A9E3F-A071-4EF6-8531-D95D613BE0D5}"/>
    <cellStyle name="Comma 10 3" xfId="7582" xr:uid="{1739A10A-9A5E-4DB5-82B5-276129E6A881}"/>
    <cellStyle name="Comma 10 4" xfId="7897" xr:uid="{4AD14C3E-8A6E-4A2E-B8C8-1A8B9E8949F7}"/>
    <cellStyle name="Comma 100" xfId="4549" xr:uid="{A48EC674-5388-4A4C-8E01-26E6398FBE9D}"/>
    <cellStyle name="Comma 100 2" xfId="7584" xr:uid="{819C14A8-4243-49BC-8BC8-6FC996079CE8}"/>
    <cellStyle name="Comma 100 3" xfId="7899" xr:uid="{EE9C9ACC-84A9-4BA1-953B-1852C527B7D3}"/>
    <cellStyle name="Comma 101" xfId="4550" xr:uid="{5ADEA88C-EBCB-438B-90DB-56B764763596}"/>
    <cellStyle name="Comma 101 2" xfId="7585" xr:uid="{436883F4-A727-4307-9BA0-4DBA17F53E1E}"/>
    <cellStyle name="Comma 101 3" xfId="7900" xr:uid="{EFDF6A33-B270-4800-A6C6-44ACE4F3EA93}"/>
    <cellStyle name="Comma 102" xfId="4551" xr:uid="{2820BAFF-8A96-42B8-8FD6-0EC2D7C64468}"/>
    <cellStyle name="Comma 102 2" xfId="7586" xr:uid="{87B3CA61-73CE-4DD3-A961-AE9C8273B47A}"/>
    <cellStyle name="Comma 102 3" xfId="7901" xr:uid="{BDBE7BC2-4941-4E7B-97D8-2F7CDAA32039}"/>
    <cellStyle name="Comma 103" xfId="4552" xr:uid="{572322F0-DAFA-48CB-A7DC-496E852F2134}"/>
    <cellStyle name="Comma 103 2" xfId="7587" xr:uid="{F443BD3D-168C-4929-B8E9-456F6AA05F64}"/>
    <cellStyle name="Comma 103 3" xfId="7902" xr:uid="{F850F5DC-9671-48C8-B853-6B6AFDC9ECB3}"/>
    <cellStyle name="Comma 104" xfId="4553" xr:uid="{4C9EAE93-FCC2-4705-91E3-8765EACC1C18}"/>
    <cellStyle name="Comma 104 2" xfId="7588" xr:uid="{96B3FCB7-91F6-42D0-B0F0-FCE701161EDE}"/>
    <cellStyle name="Comma 104 3" xfId="7903" xr:uid="{292DE345-A05F-4E99-8166-E14277C71E9C}"/>
    <cellStyle name="Comma 105" xfId="4554" xr:uid="{FCA8542A-3194-479E-9422-AA2EC95AD33F}"/>
    <cellStyle name="Comma 105 2" xfId="7589" xr:uid="{F8E8B4C6-8359-4AB3-B8D2-BEA5F3C5C55A}"/>
    <cellStyle name="Comma 105 3" xfId="7904" xr:uid="{149FD0D3-56D9-499D-9C76-5E7F37986835}"/>
    <cellStyle name="Comma 106" xfId="4555" xr:uid="{9FE1B5E4-D9F5-4202-8D7D-F0D08D9B9323}"/>
    <cellStyle name="Comma 106 2" xfId="7590" xr:uid="{4B4BD773-E139-47A2-A4A2-516242442B30}"/>
    <cellStyle name="Comma 106 3" xfId="7905" xr:uid="{A666821E-7452-41BC-AEFB-DDB13A36AD2E}"/>
    <cellStyle name="Comma 107" xfId="4556" xr:uid="{8488C237-CE6F-4135-847C-8C7B87384DB2}"/>
    <cellStyle name="Comma 107 2" xfId="7591" xr:uid="{0A154B25-FE3D-4354-A392-B8977181A1EA}"/>
    <cellStyle name="Comma 107 3" xfId="7906" xr:uid="{0FF58BAD-F417-46F5-8FE0-ACBD362784DC}"/>
    <cellStyle name="Comma 108" xfId="4557" xr:uid="{F9753BC2-91BE-43BA-884E-8B3361D9824A}"/>
    <cellStyle name="Comma 108 2" xfId="7592" xr:uid="{9EB8FAF4-01E7-4E55-94CD-220EBE27F9FA}"/>
    <cellStyle name="Comma 108 3" xfId="7907" xr:uid="{62CC2A6E-06B1-4DBD-A975-F35652EC3C9B}"/>
    <cellStyle name="Comma 109" xfId="4558" xr:uid="{82B7AF43-3DEA-46D0-A5C5-4DFFCE5CC528}"/>
    <cellStyle name="Comma 109 2" xfId="7593" xr:uid="{256E6769-297B-4FA0-A71F-90B7A9E97FE3}"/>
    <cellStyle name="Comma 109 3" xfId="7908" xr:uid="{392AF386-8FDD-420B-9E4D-84A8D4EDAA1C}"/>
    <cellStyle name="Comma 11" xfId="4559" xr:uid="{F688FB53-B484-455E-AD11-9D82940B6B9E}"/>
    <cellStyle name="Comma 11 2" xfId="4560" xr:uid="{C32EEAAC-6955-4719-ACFC-E3CBB6DFF35B}"/>
    <cellStyle name="Comma 11 2 2" xfId="7595" xr:uid="{3DF68834-4D09-4C95-9392-5BC55838B53C}"/>
    <cellStyle name="Comma 11 2 3" xfId="7910" xr:uid="{829C4F38-10E5-403C-9561-D89FCC2D3977}"/>
    <cellStyle name="Comma 11 3" xfId="7594" xr:uid="{1F4C1D4A-B3FA-4974-8EFA-312203A2D11E}"/>
    <cellStyle name="Comma 11 4" xfId="7909" xr:uid="{B615E6AE-692B-4EE0-8D3F-4CE129622301}"/>
    <cellStyle name="Comma 110" xfId="4561" xr:uid="{580D3DFE-C91A-4E84-88D6-E5BF2B15BA1F}"/>
    <cellStyle name="Comma 110 2" xfId="7596" xr:uid="{04963A29-552D-4D8F-96E9-2ED9B801102E}"/>
    <cellStyle name="Comma 110 3" xfId="7911" xr:uid="{3C11E388-A247-4B2C-B0B6-E82BA3F72A61}"/>
    <cellStyle name="Comma 111" xfId="4562" xr:uid="{4D648ECD-C563-4C09-82D6-3D54A537DD61}"/>
    <cellStyle name="Comma 111 2" xfId="7597" xr:uid="{CA9CC831-A1C8-4CD9-83A5-EC3169AAFE66}"/>
    <cellStyle name="Comma 111 3" xfId="7912" xr:uid="{438A187D-639A-4168-9CA9-AFF2FF9363EA}"/>
    <cellStyle name="Comma 112" xfId="4563" xr:uid="{62319D27-49CC-4B40-BDF3-ACFC9F5FB920}"/>
    <cellStyle name="Comma 112 2" xfId="7598" xr:uid="{2D1B1A8B-301C-4358-A4A3-A67706E8F6DA}"/>
    <cellStyle name="Comma 112 3" xfId="7913" xr:uid="{E0DB7F16-AF2C-4482-9114-B40F325A9521}"/>
    <cellStyle name="Comma 113" xfId="4564" xr:uid="{7F36B977-60D3-412C-A629-A9A1CB189D80}"/>
    <cellStyle name="Comma 113 2" xfId="7599" xr:uid="{D333AF2A-1360-4570-A5F0-801C6062F88F}"/>
    <cellStyle name="Comma 113 3" xfId="7914" xr:uid="{8FF220A6-004B-44B9-B1BB-A43DF33C3370}"/>
    <cellStyle name="Comma 114" xfId="4565" xr:uid="{AAED86D5-DB57-44D3-B46F-B3DBFAA53548}"/>
    <cellStyle name="Comma 114 2" xfId="7600" xr:uid="{A3F41061-F042-407C-8C73-A7B45099DDE6}"/>
    <cellStyle name="Comma 114 3" xfId="7915" xr:uid="{4454DE2D-CC02-4D21-B55E-775459D24CAB}"/>
    <cellStyle name="Comma 115" xfId="4566" xr:uid="{DE81D4AE-2FAF-4B7C-8C5D-30CBB1248F55}"/>
    <cellStyle name="Comma 115 2" xfId="7601" xr:uid="{3D622CCE-2089-442D-A994-34E9E3378204}"/>
    <cellStyle name="Comma 115 3" xfId="7916" xr:uid="{A84E84D8-C5AA-4EAC-800E-20D3147A1654}"/>
    <cellStyle name="Comma 116" xfId="4567" xr:uid="{F8522E43-4AD7-4316-8C4C-5AC346C475A0}"/>
    <cellStyle name="Comma 116 2" xfId="7602" xr:uid="{04E2D010-21E9-435C-86FD-F33F043A3F06}"/>
    <cellStyle name="Comma 116 3" xfId="7917" xr:uid="{2F50631C-9955-49CF-A81B-4FAB1335E4B1}"/>
    <cellStyle name="Comma 117" xfId="4568" xr:uid="{3D8991C9-4648-4A19-AA6D-C361BFE031EB}"/>
    <cellStyle name="Comma 117 2" xfId="7603" xr:uid="{9C7F63E4-591F-4CFA-A7D6-9544458938EB}"/>
    <cellStyle name="Comma 117 3" xfId="7918" xr:uid="{154B072D-F65A-4948-9347-2691159005E4}"/>
    <cellStyle name="Comma 118" xfId="4569" xr:uid="{CE2130F2-CB1F-445D-9C79-B06C44615AE2}"/>
    <cellStyle name="Comma 118 2" xfId="7604" xr:uid="{AF42248E-7CD8-4A52-A587-DCFFDF3FF8A5}"/>
    <cellStyle name="Comma 118 3" xfId="7919" xr:uid="{D38065BF-9C19-419C-A796-F10CB71870E4}"/>
    <cellStyle name="Comma 119" xfId="4570" xr:uid="{ABFDF835-A83D-463F-96BB-4DED06BC30FE}"/>
    <cellStyle name="Comma 119 2" xfId="7605" xr:uid="{64B84BAE-668B-4D44-81F7-6EBB4FAA4509}"/>
    <cellStyle name="Comma 119 3" xfId="7920" xr:uid="{EE131113-8C7D-4AAB-A5CE-2212DFB460C2}"/>
    <cellStyle name="Comma 12" xfId="4571" xr:uid="{7CC96333-FAAB-43E4-8E1C-F034C880DAC3}"/>
    <cellStyle name="Comma 12 2" xfId="4572" xr:uid="{6EE75B21-9952-4D2B-B13C-FBCDBC6B088E}"/>
    <cellStyle name="Comma 12 2 2" xfId="7607" xr:uid="{EA336C46-AD61-4E48-97B3-8120AC4A2922}"/>
    <cellStyle name="Comma 12 2 3" xfId="7922" xr:uid="{3F424301-ACD2-445E-BC0F-5499472F92BA}"/>
    <cellStyle name="Comma 12 3" xfId="7606" xr:uid="{BC9C97C8-2D39-43E8-9FD4-70684B4B35CD}"/>
    <cellStyle name="Comma 12 4" xfId="7921" xr:uid="{C4B3EC7A-B363-4CA3-BD15-9297A35FE9FD}"/>
    <cellStyle name="Comma 120" xfId="4573" xr:uid="{3A894983-6FBB-4B45-A8BD-BDEE53E33249}"/>
    <cellStyle name="Comma 120 2" xfId="7608" xr:uid="{E9E8CD84-899C-47FA-A0BB-BBDDB7039393}"/>
    <cellStyle name="Comma 120 3" xfId="7923" xr:uid="{B22A333C-D3D7-4F82-9C8A-9E84373B8E1D}"/>
    <cellStyle name="Comma 121" xfId="4574" xr:uid="{6B368C35-D6E2-43E1-BA24-811CB8A35114}"/>
    <cellStyle name="Comma 121 2" xfId="7609" xr:uid="{2BC9F783-F548-47BC-9B55-D503C6DE1435}"/>
    <cellStyle name="Comma 121 3" xfId="7924" xr:uid="{659D9916-FEB7-4EC4-8CF6-FE0BC431892A}"/>
    <cellStyle name="Comma 122" xfId="4575" xr:uid="{B4BC4DA8-97CA-41DE-9EAC-EE1E3C75D56E}"/>
    <cellStyle name="Comma 122 2" xfId="7610" xr:uid="{D18A99E9-CE20-424C-82DA-A7F499B1D0D1}"/>
    <cellStyle name="Comma 122 3" xfId="7925" xr:uid="{EFEAF3C9-6A63-4E2B-8FA5-5DDB52DC3AF2}"/>
    <cellStyle name="Comma 123" xfId="4576" xr:uid="{9E33D17F-FBFF-46A1-B260-E7BCA1D877A8}"/>
    <cellStyle name="Comma 123 2" xfId="7611" xr:uid="{1A931FDC-6326-4AEB-AA4C-A3E881FB3B14}"/>
    <cellStyle name="Comma 123 3" xfId="7926" xr:uid="{53FEAA81-603D-4BFB-99E5-7B9CB96B1DEA}"/>
    <cellStyle name="Comma 124" xfId="4577" xr:uid="{611C02C1-9E8C-4C9A-A7B8-2CE48A458C5A}"/>
    <cellStyle name="Comma 124 2" xfId="7612" xr:uid="{3CE1EF03-56D9-46B6-8BC4-0DF238FF7BE4}"/>
    <cellStyle name="Comma 124 3" xfId="7927" xr:uid="{FDA28833-A44D-4CE2-A650-27BD773D5D0A}"/>
    <cellStyle name="Comma 125" xfId="4578" xr:uid="{CDE52FFF-0EDF-48B1-9489-7825678B2039}"/>
    <cellStyle name="Comma 125 2" xfId="7613" xr:uid="{79F56504-F7A0-4E8D-A33D-C0EED9DFA26E}"/>
    <cellStyle name="Comma 125 3" xfId="7928" xr:uid="{84DEA60D-4E46-4F2C-882F-3A3C979180A3}"/>
    <cellStyle name="Comma 126" xfId="4579" xr:uid="{98982B39-05DD-42C6-AE9A-A520C1EFFB35}"/>
    <cellStyle name="Comma 126 2" xfId="7614" xr:uid="{81E61F3C-EE59-4B0E-A316-88026A164109}"/>
    <cellStyle name="Comma 126 3" xfId="7929" xr:uid="{8120C009-64B2-479F-A10A-443AA84D41A9}"/>
    <cellStyle name="Comma 127" xfId="4580" xr:uid="{62B0789D-8704-4A1C-A871-26AFF8EC282B}"/>
    <cellStyle name="Comma 127 2" xfId="7615" xr:uid="{19321B77-E41C-4FFD-A287-612EE7AD8EEA}"/>
    <cellStyle name="Comma 127 3" xfId="7930" xr:uid="{D8594C78-E178-4A1D-B452-CF2331F67E83}"/>
    <cellStyle name="Comma 128" xfId="4581" xr:uid="{6CEF171F-997B-4941-9787-AD3D09323F89}"/>
    <cellStyle name="Comma 128 2" xfId="7616" xr:uid="{4A642888-90A7-47B3-8BCC-56C4D0C05B94}"/>
    <cellStyle name="Comma 128 3" xfId="7931" xr:uid="{FE7A2F10-2314-4A59-B410-0AD32E074CC3}"/>
    <cellStyle name="Comma 129" xfId="4582" xr:uid="{270B4FA6-09EE-4B8D-B49A-B4638459F1A1}"/>
    <cellStyle name="Comma 129 2" xfId="7617" xr:uid="{2E752F04-04C4-4161-B806-2D6691E0D5AB}"/>
    <cellStyle name="Comma 129 3" xfId="7932" xr:uid="{8B17900E-C404-4C74-9A68-53EEDE5B924C}"/>
    <cellStyle name="Comma 13" xfId="4583" xr:uid="{237DCE29-3CDB-4EF2-9C44-ED52602D0C23}"/>
    <cellStyle name="Comma 13 2" xfId="4584" xr:uid="{6930D836-7EB6-4BD8-8C6B-52727F5EA591}"/>
    <cellStyle name="Comma 13 2 2" xfId="7619" xr:uid="{9991B6D5-E905-4152-8463-41093ADF7837}"/>
    <cellStyle name="Comma 13 2 3" xfId="7934" xr:uid="{723277BE-FDFB-44C0-A500-D9BBAB8F6EB9}"/>
    <cellStyle name="Comma 13 3" xfId="7618" xr:uid="{E4AEB2D3-CEB3-47FB-8B22-901103917C33}"/>
    <cellStyle name="Comma 13 4" xfId="7933" xr:uid="{A11E8EC7-8672-45C3-923E-29D76EBA4890}"/>
    <cellStyle name="Comma 130" xfId="4585" xr:uid="{F9C26CF9-4192-419B-8D51-965F4C7DD198}"/>
    <cellStyle name="Comma 130 2" xfId="7620" xr:uid="{75F57EB2-DA36-4407-83D6-FBF223BFBFE6}"/>
    <cellStyle name="Comma 130 3" xfId="7935" xr:uid="{695E5621-A88C-49DA-AF19-1C6729339F72}"/>
    <cellStyle name="Comma 131" xfId="4586" xr:uid="{B71ED92E-AE8B-4B0F-A1E9-146E19F94BA3}"/>
    <cellStyle name="Comma 131 2" xfId="7621" xr:uid="{A70335F9-603C-4798-BED3-6295958B0400}"/>
    <cellStyle name="Comma 131 3" xfId="7936" xr:uid="{3363B493-5DEF-4184-A58F-6B08AA515FD0}"/>
    <cellStyle name="Comma 132" xfId="4587" xr:uid="{A3B3C609-5CCE-4C67-AE2A-9321EA281C2D}"/>
    <cellStyle name="Comma 132 2" xfId="7622" xr:uid="{A74279E3-1F2F-4FD8-BE3C-D9AB002940E0}"/>
    <cellStyle name="Comma 132 3" xfId="7937" xr:uid="{2F7A70CF-5F74-447D-98AA-19EC66726D1C}"/>
    <cellStyle name="Comma 133" xfId="4588" xr:uid="{1E895C65-7408-483B-A6AB-B1EC1EE09C8B}"/>
    <cellStyle name="Comma 133 2" xfId="7623" xr:uid="{545E4A96-CA6D-4D14-9D2E-005F03CB725C}"/>
    <cellStyle name="Comma 133 3" xfId="7938" xr:uid="{981DDA67-79A3-4BAC-9D0F-113AF9199474}"/>
    <cellStyle name="Comma 134" xfId="4589" xr:uid="{E24FE7D5-DF57-49DA-A196-E3F194EEE76B}"/>
    <cellStyle name="Comma 134 2" xfId="7624" xr:uid="{2FA262BD-9EBE-47F5-AD2B-F7418E9703C3}"/>
    <cellStyle name="Comma 134 3" xfId="7939" xr:uid="{57A9C9EB-700A-4757-A3C5-2B6B0F5E62DF}"/>
    <cellStyle name="Comma 135" xfId="4590" xr:uid="{4C257D3F-DE22-4A9E-9F4A-5A40C00B2279}"/>
    <cellStyle name="Comma 135 2" xfId="7625" xr:uid="{B0127394-11D2-4336-AC9B-BECD798C69C6}"/>
    <cellStyle name="Comma 135 3" xfId="7940" xr:uid="{8A368878-F42F-4201-B55D-C2026AB8664C}"/>
    <cellStyle name="Comma 136" xfId="4591" xr:uid="{6A7B123C-9DED-48E0-99C4-D75039B02265}"/>
    <cellStyle name="Comma 136 2" xfId="7626" xr:uid="{559D6F20-46F3-4072-837D-290F609B8552}"/>
    <cellStyle name="Comma 136 3" xfId="7941" xr:uid="{78D82DBD-0CE4-4E95-BEA6-0DE7B949D447}"/>
    <cellStyle name="Comma 137" xfId="4592" xr:uid="{CE087DCF-EEBB-4B8B-BD1B-34ACC7D6B843}"/>
    <cellStyle name="Comma 137 2" xfId="7627" xr:uid="{6FE13A87-D5D4-43F8-A882-D2FA2E9EBCD8}"/>
    <cellStyle name="Comma 137 3" xfId="7942" xr:uid="{ACAABB23-5C07-41AE-A89E-52A5C7082DF1}"/>
    <cellStyle name="Comma 138" xfId="4593" xr:uid="{9416E0C5-ED8D-4DE0-8396-ABF1C8219666}"/>
    <cellStyle name="Comma 138 2" xfId="7628" xr:uid="{75C8258A-BA86-47A0-BFFE-739BDA9AEB5A}"/>
    <cellStyle name="Comma 138 3" xfId="7943" xr:uid="{8F4747CD-CCB8-4806-998D-1E06C3F74E75}"/>
    <cellStyle name="Comma 139" xfId="4594" xr:uid="{65FA893D-A627-49FE-A601-96B0C6E0F877}"/>
    <cellStyle name="Comma 139 2" xfId="7629" xr:uid="{A780319C-318E-4F70-94B1-6750B41D6F1F}"/>
    <cellStyle name="Comma 139 3" xfId="7944" xr:uid="{3099429C-0756-43DB-BDF5-901465610168}"/>
    <cellStyle name="Comma 14" xfId="4595" xr:uid="{FE06A6AE-BF6D-44D4-AFB9-2A6D78C0F17E}"/>
    <cellStyle name="Comma 14 2" xfId="4596" xr:uid="{A6851C58-7306-46BE-BA35-D270B4810880}"/>
    <cellStyle name="Comma 14 2 2" xfId="7631" xr:uid="{6A9B8EC5-355A-467B-AF14-02EDD3785F50}"/>
    <cellStyle name="Comma 14 2 3" xfId="7946" xr:uid="{BFB4AC83-83B1-45EA-AF27-667630A3C4E8}"/>
    <cellStyle name="Comma 14 3" xfId="7630" xr:uid="{43A743F9-9802-493D-8D0B-3619AE9B55AA}"/>
    <cellStyle name="Comma 14 4" xfId="7945" xr:uid="{AF928932-76CD-4AC1-AA2B-4885272C2BEC}"/>
    <cellStyle name="Comma 140" xfId="4597" xr:uid="{C6696DC7-5398-4C0D-823C-01DA43CBA152}"/>
    <cellStyle name="Comma 140 2" xfId="7632" xr:uid="{E9C20229-4D70-4A2B-B989-DDE2D4D875E8}"/>
    <cellStyle name="Comma 140 3" xfId="7947" xr:uid="{58818772-C9B0-4D7A-B9FA-1B305B14C7F4}"/>
    <cellStyle name="Comma 141" xfId="4598" xr:uid="{8DF350DD-95E7-4975-AB3D-44E73AF27752}"/>
    <cellStyle name="Comma 141 2" xfId="7633" xr:uid="{F8658304-2D3F-4997-BB48-D3C72910186A}"/>
    <cellStyle name="Comma 141 3" xfId="7948" xr:uid="{7F35F70A-C58F-4975-951B-E192D663D7E3}"/>
    <cellStyle name="Comma 142" xfId="4599" xr:uid="{4620D8A8-47A3-485B-A8B5-DEF9AA72E736}"/>
    <cellStyle name="Comma 142 2" xfId="7634" xr:uid="{079A0676-BE52-4628-A0AA-259C1EA0A697}"/>
    <cellStyle name="Comma 142 3" xfId="7949" xr:uid="{B87FFB02-FCC7-4468-949A-980AAB6F29AB}"/>
    <cellStyle name="Comma 143" xfId="4600" xr:uid="{2892DE64-C2FF-4FBC-A1B0-79817E7B2C1D}"/>
    <cellStyle name="Comma 143 2" xfId="7635" xr:uid="{0448022A-138B-44E9-A9B9-002250B85C55}"/>
    <cellStyle name="Comma 143 3" xfId="7950" xr:uid="{0FC526A5-A363-4E5D-B544-34D2CBBFA40D}"/>
    <cellStyle name="Comma 144" xfId="4601" xr:uid="{FF486DB8-9FC9-4645-967E-F82690AA3881}"/>
    <cellStyle name="Comma 144 2" xfId="7636" xr:uid="{0DB717DA-4E60-4403-A6A1-E8416224B4DD}"/>
    <cellStyle name="Comma 144 3" xfId="7951" xr:uid="{A1C9E0B3-9F33-4076-9C76-58AF4DBFB020}"/>
    <cellStyle name="Comma 145" xfId="4602" xr:uid="{23D3D2BD-C9F5-4C69-919A-B505B362F030}"/>
    <cellStyle name="Comma 145 2" xfId="7637" xr:uid="{A69699A5-DB29-4E80-8FBA-1756707A0571}"/>
    <cellStyle name="Comma 145 3" xfId="7952" xr:uid="{4C0414AC-97F0-4135-826A-274A60B3DBC9}"/>
    <cellStyle name="Comma 146" xfId="4603" xr:uid="{F7A4366A-090D-4A93-8C1E-3A156B6BA7B4}"/>
    <cellStyle name="Comma 146 2" xfId="7638" xr:uid="{F4B4C83B-A5EA-413F-84FE-CB8DF50E9A26}"/>
    <cellStyle name="Comma 146 3" xfId="7953" xr:uid="{EAC6AF2C-75CF-4DE1-8DCE-C0B0C03D4308}"/>
    <cellStyle name="Comma 147" xfId="4604" xr:uid="{DFC18897-A639-4FB7-AC47-F669D958D6B3}"/>
    <cellStyle name="Comma 147 2" xfId="7639" xr:uid="{2F95EE5C-3B27-4DBD-AD19-685D7604F8AD}"/>
    <cellStyle name="Comma 147 3" xfId="7954" xr:uid="{E9FC1CAD-D41E-4049-B58F-48903DDD8B6D}"/>
    <cellStyle name="Comma 148" xfId="4605" xr:uid="{3F6EEE96-ED13-46D0-A563-53FD276EC7D9}"/>
    <cellStyle name="Comma 148 2" xfId="7640" xr:uid="{E426D8D2-8D22-4FB1-95DE-9D069EFADEE6}"/>
    <cellStyle name="Comma 148 3" xfId="7955" xr:uid="{46AD4FA3-D3A1-4F8C-825F-263635D1A698}"/>
    <cellStyle name="Comma 149" xfId="4606" xr:uid="{0F863B43-38E1-4810-A955-68FDC19E37CF}"/>
    <cellStyle name="Comma 149 2" xfId="7641" xr:uid="{2526DD51-7878-45EA-AA16-EE0FEEE00617}"/>
    <cellStyle name="Comma 149 3" xfId="7956" xr:uid="{0CB0F791-01E4-4F8E-ACE6-A3CB625FF6B9}"/>
    <cellStyle name="Comma 15" xfId="4607" xr:uid="{5117C7D1-1548-405F-ACD2-2FC30A9E5566}"/>
    <cellStyle name="Comma 15 2" xfId="4608" xr:uid="{247C17A5-CAB9-467A-8D78-B2E4F49E1C11}"/>
    <cellStyle name="Comma 15 2 2" xfId="7643" xr:uid="{CB28F666-4BF1-4D37-BE24-0BBE9FC35844}"/>
    <cellStyle name="Comma 15 2 3" xfId="7958" xr:uid="{8FF8C850-9844-42B9-9144-43DA49168D31}"/>
    <cellStyle name="Comma 15 3" xfId="7642" xr:uid="{C08C0BF9-E4AD-4F30-8BC2-DCB01CE44BD0}"/>
    <cellStyle name="Comma 15 4" xfId="7957" xr:uid="{72567209-B266-4D94-93C5-EED4D48DE712}"/>
    <cellStyle name="Comma 150" xfId="4609" xr:uid="{6135BEC1-3920-4286-8AC5-220D329B694B}"/>
    <cellStyle name="Comma 150 2" xfId="7644" xr:uid="{38AA5784-52F2-4A0F-A614-AE94F3954934}"/>
    <cellStyle name="Comma 150 3" xfId="7959" xr:uid="{C8DB57DB-389A-4DFC-84D9-5CE1E55B2F85}"/>
    <cellStyle name="Comma 151" xfId="4610" xr:uid="{DA8012E1-9367-4289-98CB-455D6A5A5578}"/>
    <cellStyle name="Comma 151 2" xfId="7645" xr:uid="{F0889766-D09A-49BD-B5A1-1AD926C9BE2F}"/>
    <cellStyle name="Comma 151 3" xfId="7960" xr:uid="{48F65F37-80C6-4754-B946-436534BF2504}"/>
    <cellStyle name="Comma 152" xfId="4611" xr:uid="{2AAF8519-7A31-445E-8C67-6D843220F1C9}"/>
    <cellStyle name="Comma 152 2" xfId="7646" xr:uid="{BC67541F-8ED4-4CE0-80D5-CF09A4B28375}"/>
    <cellStyle name="Comma 152 3" xfId="7961" xr:uid="{3C878C89-AFD2-42E0-B023-BEE9AA32B781}"/>
    <cellStyle name="Comma 153" xfId="4612" xr:uid="{CD790C3F-DCDD-4D49-A038-A7D3C7B4B598}"/>
    <cellStyle name="Comma 153 2" xfId="7647" xr:uid="{BA218FA2-D6A1-400C-B9BC-4A6204FDD5A8}"/>
    <cellStyle name="Comma 153 3" xfId="7962" xr:uid="{D52652B8-E2D8-4E0C-BF0C-E0418990A428}"/>
    <cellStyle name="Comma 154" xfId="4613" xr:uid="{00FDF7FD-0781-43C3-A889-E341A2857395}"/>
    <cellStyle name="Comma 154 2" xfId="7648" xr:uid="{9BDBE248-890B-4DD0-9DB0-CD3C5A116F5B}"/>
    <cellStyle name="Comma 154 3" xfId="7963" xr:uid="{749EFC1D-66B5-4914-913D-B0AEF5C51EAF}"/>
    <cellStyle name="Comma 155" xfId="4614" xr:uid="{0C9A7E5D-240D-4727-BA3A-022432363427}"/>
    <cellStyle name="Comma 155 2" xfId="7649" xr:uid="{FB91E94F-BCC4-4C77-8906-7A44CB116C93}"/>
    <cellStyle name="Comma 155 3" xfId="7964" xr:uid="{7F83AB75-CB06-4D48-ADE1-FDE14D67BF6A}"/>
    <cellStyle name="Comma 156" xfId="4615" xr:uid="{FA887996-4E12-44B6-8A78-80D8BA0742F9}"/>
    <cellStyle name="Comma 156 2" xfId="7650" xr:uid="{836A755F-A8E9-4854-B48B-18985B656B5F}"/>
    <cellStyle name="Comma 156 3" xfId="7965" xr:uid="{78D62A35-D493-4F39-93F6-74AD61EB8790}"/>
    <cellStyle name="Comma 157" xfId="4616" xr:uid="{E9D34C6D-0AEE-45EF-90E4-4D724C927515}"/>
    <cellStyle name="Comma 157 2" xfId="7651" xr:uid="{5CF32F7C-91E1-4A27-94FB-84F160517AE0}"/>
    <cellStyle name="Comma 157 3" xfId="7966" xr:uid="{16ACEDF9-EE23-4B00-BCDB-D7FCD7960AC0}"/>
    <cellStyle name="Comma 158" xfId="4617" xr:uid="{074FE82C-7561-43A6-85F9-126C03D5E60F}"/>
    <cellStyle name="Comma 158 2" xfId="7652" xr:uid="{8921F4C2-7955-499C-9DF1-AB3E2EDE3A8C}"/>
    <cellStyle name="Comma 158 3" xfId="7967" xr:uid="{C893FE53-A87B-41FE-957E-A079D6A8DE8C}"/>
    <cellStyle name="Comma 159" xfId="4618" xr:uid="{BF84B4B4-05F1-486B-857E-9E97AC3059AC}"/>
    <cellStyle name="Comma 159 2" xfId="7653" xr:uid="{B44EAD25-9094-4015-BC73-9B79BF144B74}"/>
    <cellStyle name="Comma 159 3" xfId="7968" xr:uid="{67EF14F0-695D-4148-96EC-B07383EE6A22}"/>
    <cellStyle name="Comma 16" xfId="4619" xr:uid="{F13ADECD-7B89-4E1D-AD9F-73BA2BB7DB67}"/>
    <cellStyle name="Comma 16 2" xfId="7654" xr:uid="{F045525A-D94F-4385-AE7E-E377C3E77023}"/>
    <cellStyle name="Comma 16 3" xfId="7969" xr:uid="{DA0CFAC9-70AE-427C-91A2-1B7638A79EF7}"/>
    <cellStyle name="Comma 160" xfId="4620" xr:uid="{57A44767-9A91-4FBE-9314-461EE648080D}"/>
    <cellStyle name="Comma 160 2" xfId="7655" xr:uid="{C658BE16-12BD-4987-9ECB-EC46918CA5E3}"/>
    <cellStyle name="Comma 160 3" xfId="7970" xr:uid="{C1C04F58-1FF9-4CD1-80CE-D0CC6CF6CF8A}"/>
    <cellStyle name="Comma 161" xfId="4621" xr:uid="{C8FB32CA-E348-489A-9B44-354773C9601E}"/>
    <cellStyle name="Comma 161 2" xfId="7656" xr:uid="{115264F9-728C-4C56-B71E-4AC542C67169}"/>
    <cellStyle name="Comma 161 3" xfId="7971" xr:uid="{78CE8690-0869-4292-A2C5-B0754E6E3586}"/>
    <cellStyle name="Comma 162" xfId="4622" xr:uid="{6AB51715-1AAF-40F9-BBAF-7237F71DFBDD}"/>
    <cellStyle name="Comma 162 2" xfId="7657" xr:uid="{0D71307F-8608-4C8E-B0FB-E19BA83D1A67}"/>
    <cellStyle name="Comma 162 3" xfId="7972" xr:uid="{F687F00D-C7D8-4038-B76A-244C15069293}"/>
    <cellStyle name="Comma 163" xfId="4623" xr:uid="{685A022C-0AC6-4CF1-9D57-8337FE9C26E4}"/>
    <cellStyle name="Comma 163 2" xfId="7658" xr:uid="{25790095-FAE2-4E9F-A01F-4EE2BD9E82D8}"/>
    <cellStyle name="Comma 163 3" xfId="7973" xr:uid="{4F918DB8-A942-4DE5-BD4A-AB50036A12E7}"/>
    <cellStyle name="Comma 164" xfId="4624" xr:uid="{EF9A68E5-5C50-4D1F-AAF3-3A2FFCF1933B}"/>
    <cellStyle name="Comma 164 2" xfId="7659" xr:uid="{85CEE5C4-D791-4DCF-A424-509A05A8879B}"/>
    <cellStyle name="Comma 164 3" xfId="7974" xr:uid="{005FC96D-334E-4908-9D2A-43EDC3D3C145}"/>
    <cellStyle name="Comma 165" xfId="4625" xr:uid="{444360E6-67BE-4BD4-B442-8EA19AF55216}"/>
    <cellStyle name="Comma 165 2" xfId="7660" xr:uid="{BFE5C891-6CE5-40C9-B8EE-7FC2DD802373}"/>
    <cellStyle name="Comma 165 3" xfId="7975" xr:uid="{65C2F49F-B553-4AB6-8F33-EDF82F4D1191}"/>
    <cellStyle name="Comma 166" xfId="4626" xr:uid="{1E2D14D0-C9D0-4F88-8E64-EE89BA0B173C}"/>
    <cellStyle name="Comma 166 2" xfId="7661" xr:uid="{2D456F2A-C32E-4928-BA9F-DFF3FBDD4E43}"/>
    <cellStyle name="Comma 166 3" xfId="7976" xr:uid="{2BE43C8A-519F-47DF-ACC1-7F648733F164}"/>
    <cellStyle name="Comma 167" xfId="4627" xr:uid="{B5C53F01-8E28-4CDA-91D1-44975EBE63F3}"/>
    <cellStyle name="Comma 167 2" xfId="7662" xr:uid="{0B7929A5-C783-4E01-9016-A94FD264EE82}"/>
    <cellStyle name="Comma 167 3" xfId="7977" xr:uid="{7E004D20-005A-4152-98B0-D83422DE612D}"/>
    <cellStyle name="Comma 168" xfId="4628" xr:uid="{EE2DDC48-E73A-4FC7-9AD3-874A89DF2362}"/>
    <cellStyle name="Comma 168 2" xfId="7663" xr:uid="{8D7EEB4D-0230-46BB-BFAB-FA672E5E92E6}"/>
    <cellStyle name="Comma 168 3" xfId="7978" xr:uid="{2337E545-9908-49BC-AD51-00E353314CBB}"/>
    <cellStyle name="Comma 169" xfId="4629" xr:uid="{7F2BCD72-012B-4749-A174-093B3B585CE9}"/>
    <cellStyle name="Comma 169 2" xfId="7664" xr:uid="{3B68C132-8A0A-4341-BCBC-2EDA0A75ADA0}"/>
    <cellStyle name="Comma 169 3" xfId="7979" xr:uid="{A7DBCB37-7A1B-4F44-A860-11EED484F981}"/>
    <cellStyle name="Comma 17" xfId="4630" xr:uid="{5E219CC9-66B1-44F3-9C17-2E9CE2E48BEE}"/>
    <cellStyle name="Comma 17 2" xfId="7665" xr:uid="{566D34EC-AFA4-4388-83E3-E8C40EA90A46}"/>
    <cellStyle name="Comma 17 3" xfId="7980" xr:uid="{F0D87923-DFCD-4C3F-889C-7DBEE73DD5B2}"/>
    <cellStyle name="Comma 170" xfId="4631" xr:uid="{569D0202-349A-40EF-B635-FC301DBEB66A}"/>
    <cellStyle name="Comma 170 2" xfId="7666" xr:uid="{80D4DAC6-1E0F-4C19-A321-9CE6C3FBAEFF}"/>
    <cellStyle name="Comma 170 3" xfId="7981" xr:uid="{8E0F7DB8-07A9-4E58-BA5C-349ABDF4A9C4}"/>
    <cellStyle name="Comma 171" xfId="4632" xr:uid="{B2744C42-D135-4680-AE31-9E13CE374932}"/>
    <cellStyle name="Comma 171 2" xfId="7667" xr:uid="{17732EC3-D4C5-4BFC-B2C8-2D0009A394A2}"/>
    <cellStyle name="Comma 171 3" xfId="7982" xr:uid="{3780C979-2942-428C-8BC8-BEB5F7629ECF}"/>
    <cellStyle name="Comma 172" xfId="4633" xr:uid="{5EA6EE45-F37A-4B56-A1A8-556B8B15B2D8}"/>
    <cellStyle name="Comma 172 2" xfId="7668" xr:uid="{518F30F3-2137-4B59-821F-F6633BFD241B}"/>
    <cellStyle name="Comma 172 3" xfId="7983" xr:uid="{D19216B0-B602-4080-AB03-7DDE7BA590DE}"/>
    <cellStyle name="Comma 173" xfId="4634" xr:uid="{B171D873-B58E-4FD9-A3A2-07962FFAA98C}"/>
    <cellStyle name="Comma 173 2" xfId="7669" xr:uid="{36597C89-30F5-4175-8E26-0BA9E7D3BDB6}"/>
    <cellStyle name="Comma 173 3" xfId="7984" xr:uid="{DB3B414B-078A-4C01-BC3D-67EF96AA3088}"/>
    <cellStyle name="Comma 174" xfId="4635" xr:uid="{C2820E52-6AD9-44E8-9BA1-6F65B45B2C1E}"/>
    <cellStyle name="Comma 174 2" xfId="7670" xr:uid="{F068FFFA-0A98-4FBC-A23B-9F853EFB997C}"/>
    <cellStyle name="Comma 174 3" xfId="7985" xr:uid="{8DED0AEF-A42B-42E0-A696-077C231CDF30}"/>
    <cellStyle name="Comma 175" xfId="4636" xr:uid="{94D71C8D-F3A2-4BA9-9710-0C71EEB21631}"/>
    <cellStyle name="Comma 175 2" xfId="7671" xr:uid="{6FDA8C37-8DA2-4FD0-B745-09732890564C}"/>
    <cellStyle name="Comma 175 3" xfId="7986" xr:uid="{3B547E9E-AB36-4C32-A5B2-81C94F72B6B4}"/>
    <cellStyle name="Comma 176" xfId="4637" xr:uid="{31C95707-78EB-4EC1-9753-9B0A100E7110}"/>
    <cellStyle name="Comma 176 2" xfId="7672" xr:uid="{C36008B2-0C4E-4214-B1B4-A3E58394D2D1}"/>
    <cellStyle name="Comma 176 3" xfId="7987" xr:uid="{B189FD27-8F25-4EC3-8FC9-B33AF8831E8E}"/>
    <cellStyle name="Comma 177" xfId="4638" xr:uid="{B435D85F-ADB2-4569-A54C-25A6B986952E}"/>
    <cellStyle name="Comma 177 2" xfId="7673" xr:uid="{D3156808-B761-4E66-8F33-826556D1AB23}"/>
    <cellStyle name="Comma 177 3" xfId="7988" xr:uid="{93B8316A-3E57-4514-8775-40F53601D1A0}"/>
    <cellStyle name="Comma 178" xfId="4639" xr:uid="{6AC6A265-ECAD-43FA-BC57-535968A9635C}"/>
    <cellStyle name="Comma 178 2" xfId="7674" xr:uid="{AA98B8FE-7F59-4269-B625-A596456B7882}"/>
    <cellStyle name="Comma 178 3" xfId="7989" xr:uid="{02F2D9B6-C058-4231-977C-D160318CC88A}"/>
    <cellStyle name="Comma 179" xfId="4640" xr:uid="{22926F23-C685-4F00-8D33-C5106C2C402C}"/>
    <cellStyle name="Comma 179 2" xfId="7675" xr:uid="{7DADEF19-4D88-4712-95CB-6826D6EB9E6C}"/>
    <cellStyle name="Comma 179 3" xfId="7990" xr:uid="{AF6588E6-C13E-4A6E-911A-2FC1E2B42597}"/>
    <cellStyle name="Comma 18" xfId="4641" xr:uid="{771E60F9-1305-433F-8F7F-E1430076114D}"/>
    <cellStyle name="Comma 18 2" xfId="7676" xr:uid="{1714CB45-4AA6-470A-973A-0B1406F017E5}"/>
    <cellStyle name="Comma 18 3" xfId="7991" xr:uid="{1C7F9F23-420F-4E3A-824D-B3725C799480}"/>
    <cellStyle name="Comma 180" xfId="4642" xr:uid="{919A9FD8-E718-46ED-9A46-30102400123B}"/>
    <cellStyle name="Comma 180 2" xfId="7677" xr:uid="{342CE269-3BEE-4D99-9472-83CBE5A35E0F}"/>
    <cellStyle name="Comma 180 3" xfId="7992" xr:uid="{7D492C9C-ABAC-42A6-ACC3-DA0A4F5AFC16}"/>
    <cellStyle name="Comma 181" xfId="4643" xr:uid="{4F71FD09-E350-4BF8-AB97-BFDB8B3BD68C}"/>
    <cellStyle name="Comma 181 2" xfId="7678" xr:uid="{D4062832-0EF7-4A5D-A6A3-6674DFFA2DBF}"/>
    <cellStyle name="Comma 181 3" xfId="7993" xr:uid="{6195311F-5B5B-477D-889F-9E43E3FDEC8F}"/>
    <cellStyle name="Comma 182" xfId="4644" xr:uid="{DD95E9A0-82E2-46DF-A644-40E82A1F3EDE}"/>
    <cellStyle name="Comma 182 2" xfId="7679" xr:uid="{C92BE0C8-936E-44DC-9F73-B8C8C771C20F}"/>
    <cellStyle name="Comma 182 3" xfId="7994" xr:uid="{0A852691-D7F6-4A6F-8411-F2483282B568}"/>
    <cellStyle name="Comma 183" xfId="4645" xr:uid="{812C4836-3DDF-4C9B-9D85-2CD8FEC84121}"/>
    <cellStyle name="Comma 183 2" xfId="7680" xr:uid="{8147B672-B4A6-40E7-BD2B-9EFA0AB7518D}"/>
    <cellStyle name="Comma 183 3" xfId="7995" xr:uid="{C29FB8AD-ED36-4EBC-ABC5-8C531269F0E9}"/>
    <cellStyle name="Comma 184" xfId="4646" xr:uid="{16B8D4B9-3008-4370-8538-6F83B29C1CDB}"/>
    <cellStyle name="Comma 184 2" xfId="7681" xr:uid="{6410D814-C85E-400E-88A3-BA499ABBE491}"/>
    <cellStyle name="Comma 184 3" xfId="7996" xr:uid="{59820E81-BB29-46EB-B967-7451C6FC3D06}"/>
    <cellStyle name="Comma 185" xfId="4647" xr:uid="{50DC8A2A-4197-4336-9F2B-483F711D81B6}"/>
    <cellStyle name="Comma 185 2" xfId="7682" xr:uid="{F661D2A5-B730-46AE-9CBC-39656EB56A67}"/>
    <cellStyle name="Comma 185 3" xfId="7997" xr:uid="{ACF8C677-F785-4979-911E-C7CBE25445BF}"/>
    <cellStyle name="Comma 186" xfId="4648" xr:uid="{C44E26CA-F26C-4AEE-A563-CBBAFB19CA25}"/>
    <cellStyle name="Comma 186 2" xfId="7683" xr:uid="{907145C3-F29F-4298-9ECB-9D42C80F8C54}"/>
    <cellStyle name="Comma 186 3" xfId="7998" xr:uid="{6467CEAA-B7D1-4076-BB24-1F92F88A9FC8}"/>
    <cellStyle name="Comma 187" xfId="4649" xr:uid="{C77BB7C2-C7C1-4F87-88C5-A41B4E1E1681}"/>
    <cellStyle name="Comma 187 2" xfId="7684" xr:uid="{D3006B10-90B1-47AE-A46D-E280A7735F2D}"/>
    <cellStyle name="Comma 187 3" xfId="7999" xr:uid="{67F88340-3F70-4B4F-8DD5-89B7F3807BF8}"/>
    <cellStyle name="Comma 188" xfId="4650" xr:uid="{5CC542BF-8D32-4CA2-891A-27E71CD3C866}"/>
    <cellStyle name="Comma 188 2" xfId="7685" xr:uid="{0EEF6636-2F33-40B8-85A6-7B40D3048F1B}"/>
    <cellStyle name="Comma 188 3" xfId="8000" xr:uid="{628601C5-0AE5-4BF7-84BE-1EA57608F9CC}"/>
    <cellStyle name="Comma 189" xfId="4651" xr:uid="{A7FE338B-7246-4988-B367-97BEAF8C9A05}"/>
    <cellStyle name="Comma 189 2" xfId="7686" xr:uid="{6C072868-D4B2-4634-8643-E208BF39FFE3}"/>
    <cellStyle name="Comma 189 3" xfId="8001" xr:uid="{D5DA5C1D-368B-45AB-8A9F-0D0DF69D3CAC}"/>
    <cellStyle name="Comma 19" xfId="4652" xr:uid="{15A3003E-FA23-416B-BF48-FF16A74DAD8F}"/>
    <cellStyle name="Comma 19 2" xfId="7687" xr:uid="{8DBEF172-B21A-44B2-AF4F-3405C4D5F26C}"/>
    <cellStyle name="Comma 19 3" xfId="8002" xr:uid="{839EF24E-4722-4FA4-B602-03D130467E29}"/>
    <cellStyle name="Comma 190" xfId="4653" xr:uid="{808D0F79-0B1C-4E77-A992-B4CF796B6BBE}"/>
    <cellStyle name="Comma 190 2" xfId="7688" xr:uid="{A9275FEC-417E-434E-A668-A01C8076F9B3}"/>
    <cellStyle name="Comma 190 3" xfId="8003" xr:uid="{B5385BE2-564C-4756-8A2C-52FF8C1A978C}"/>
    <cellStyle name="Comma 191" xfId="4654" xr:uid="{7542613D-87DF-4079-92E5-9A0E17F735A5}"/>
    <cellStyle name="Comma 191 2" xfId="7689" xr:uid="{2F9DD6EB-650A-4ADB-820D-C4AA62C72E1F}"/>
    <cellStyle name="Comma 191 3" xfId="8004" xr:uid="{EB08F1F8-418B-4F67-99E5-AC47B5FFEE2E}"/>
    <cellStyle name="Comma 192" xfId="4655" xr:uid="{0F46BD35-7FD6-4A79-9FA8-721457B2A5FC}"/>
    <cellStyle name="Comma 192 2" xfId="7690" xr:uid="{E725181A-F754-43AE-8B5C-3BA41C086230}"/>
    <cellStyle name="Comma 192 3" xfId="8005" xr:uid="{50B7C8EA-57B7-4F6D-AF8D-18260A5A1F71}"/>
    <cellStyle name="Comma 193" xfId="4656" xr:uid="{1599EB14-EAEA-4DE2-A3E4-62AB071CF7F8}"/>
    <cellStyle name="Comma 193 2" xfId="7691" xr:uid="{F04A354C-166C-4A2E-AA2F-EDD07BD95426}"/>
    <cellStyle name="Comma 193 3" xfId="8006" xr:uid="{67D39B3D-538A-4748-85FE-719250C379D1}"/>
    <cellStyle name="Comma 194" xfId="4657" xr:uid="{D7F9EC8D-E6CD-4F84-B806-382EB9B553C4}"/>
    <cellStyle name="Comma 194 2" xfId="7692" xr:uid="{E0656919-42FE-4DC3-9C54-2E0D4728337E}"/>
    <cellStyle name="Comma 194 3" xfId="8007" xr:uid="{24CD92A7-8271-4D8F-8568-8833D9CAF4FA}"/>
    <cellStyle name="Comma 195" xfId="4658" xr:uid="{83A836A8-6BFA-48DC-8A2F-356EEA861092}"/>
    <cellStyle name="Comma 195 2" xfId="7693" xr:uid="{D499C3D8-3597-4F53-B90A-2C58D09EA9A9}"/>
    <cellStyle name="Comma 195 3" xfId="8008" xr:uid="{EE0A8BED-E805-4D35-8FA4-FBD019EEECC0}"/>
    <cellStyle name="Comma 196" xfId="4659" xr:uid="{73DF5BE4-E375-4B0A-A412-6174E8AAACD2}"/>
    <cellStyle name="Comma 196 2" xfId="7694" xr:uid="{54706573-A246-4FDD-B6E8-FE4F433F0107}"/>
    <cellStyle name="Comma 196 3" xfId="8009" xr:uid="{41A86852-21C8-4795-A224-A8C098D2DC2B}"/>
    <cellStyle name="Comma 197" xfId="4660" xr:uid="{B26FBB7D-75FE-4843-90D0-FB881D14DC88}"/>
    <cellStyle name="Comma 197 2" xfId="7695" xr:uid="{80727953-53C1-42EB-9BE4-C8AED2932F78}"/>
    <cellStyle name="Comma 197 3" xfId="8010" xr:uid="{ACA64994-0372-4FEF-A28D-10942C4811F5}"/>
    <cellStyle name="Comma 198" xfId="4661" xr:uid="{D4AA1AB9-09EB-48DD-A36A-C0C175E404FC}"/>
    <cellStyle name="Comma 198 2" xfId="7696" xr:uid="{13BC5B12-A0EB-4DBE-8D89-C1D1419EFD20}"/>
    <cellStyle name="Comma 198 3" xfId="8011" xr:uid="{7B4F0572-AE3A-4F97-9A6A-DCC0CBC980E8}"/>
    <cellStyle name="Comma 199" xfId="4662" xr:uid="{90813D93-39F3-427E-B845-860937718782}"/>
    <cellStyle name="Comma 199 2" xfId="7697" xr:uid="{BCF99ED3-1829-4608-95A5-8CEDB9C75263}"/>
    <cellStyle name="Comma 199 3" xfId="8012" xr:uid="{AC55E3F4-8589-4572-96A1-21947B783C9B}"/>
    <cellStyle name="Comma 2" xfId="1975" xr:uid="{C8A9B4E5-247E-420C-827D-757B1437C98A}"/>
    <cellStyle name="Comma 2 10" xfId="1080" xr:uid="{16396011-251C-4564-9569-5FC23DCD54EE}"/>
    <cellStyle name="Comma 2 10 2" xfId="7498" xr:uid="{52D72F41-16BB-4695-828C-9DD099C4D177}"/>
    <cellStyle name="Comma 2 10 3" xfId="7813" xr:uid="{650C02F7-70E6-4AE0-9CE1-100A39D665C2}"/>
    <cellStyle name="Comma 2 11" xfId="1081" xr:uid="{D4FC6093-10F8-4C29-9BE9-9BFB43581440}"/>
    <cellStyle name="Comma 2 11 2" xfId="7499" xr:uid="{0EA9A08E-7E2B-4515-A844-49889E2EC5F4}"/>
    <cellStyle name="Comma 2 11 3" xfId="7814" xr:uid="{070CDA7B-8655-4C06-8777-BA13C599B8DF}"/>
    <cellStyle name="Comma 2 12" xfId="1082" xr:uid="{92FBEF63-0E5A-40C7-B5DD-513D4B5F5EC2}"/>
    <cellStyle name="Comma 2 12 2" xfId="7500" xr:uid="{A0EB35D5-D141-411B-95A7-48214D9A8CAF}"/>
    <cellStyle name="Comma 2 12 3" xfId="7815" xr:uid="{AC9DF25C-C84F-4B01-BDE4-390A7A0B35BE}"/>
    <cellStyle name="Comma 2 13" xfId="1083" xr:uid="{9D75A529-6385-4B63-B06E-8AAA9C933A34}"/>
    <cellStyle name="Comma 2 13 2" xfId="7501" xr:uid="{1815023D-A090-484C-84EC-C0CD0121F32A}"/>
    <cellStyle name="Comma 2 13 3" xfId="7816" xr:uid="{195FEFE0-54F2-4414-A4F5-2EB7337CBCF9}"/>
    <cellStyle name="Comma 2 14" xfId="1084" xr:uid="{19EC9D0D-2DA5-4B19-9170-F882811F4D7B}"/>
    <cellStyle name="Comma 2 14 2" xfId="7502" xr:uid="{0C374B4F-7726-42A7-8DC8-39BCB90A9C9E}"/>
    <cellStyle name="Comma 2 14 3" xfId="7817" xr:uid="{D1C5A8F8-DA2B-44DB-92D2-5D762523BECA}"/>
    <cellStyle name="Comma 2 15" xfId="1085" xr:uid="{5F85A668-99A6-40B7-A329-F78D9A897CF0}"/>
    <cellStyle name="Comma 2 15 2" xfId="7503" xr:uid="{D6B08A43-E6B7-4063-AEFB-7E1270B2268F}"/>
    <cellStyle name="Comma 2 15 3" xfId="7818" xr:uid="{EEAFBF83-3DDF-45D5-91E7-5FBB1819BCF5}"/>
    <cellStyle name="Comma 2 16" xfId="1086" xr:uid="{4CFC57A9-5EE1-4131-A46C-80F3008104C7}"/>
    <cellStyle name="Comma 2 16 2" xfId="7504" xr:uid="{09117499-0570-4D1B-9F57-1C080DE7B411}"/>
    <cellStyle name="Comma 2 16 3" xfId="7819" xr:uid="{3DEAF2B8-5900-47F6-B596-77114EE4D5AE}"/>
    <cellStyle name="Comma 2 17" xfId="1087" xr:uid="{9566F839-E49B-46BB-813E-A9164B3E17E4}"/>
    <cellStyle name="Comma 2 17 2" xfId="7505" xr:uid="{B1A20AA8-FBD1-4DF1-946E-44AD1835804F}"/>
    <cellStyle name="Comma 2 17 3" xfId="7820" xr:uid="{8689D69B-A88E-43AA-9E01-446AE5EEA709}"/>
    <cellStyle name="Comma 2 18" xfId="1088" xr:uid="{8AF58D45-E220-40DD-8785-B9CE36B19E68}"/>
    <cellStyle name="Comma 2 18 2" xfId="7506" xr:uid="{BE8495B6-E533-4C64-A6CB-7F920DE235E3}"/>
    <cellStyle name="Comma 2 18 3" xfId="7821" xr:uid="{77B87E17-61B6-4285-AB12-609C83A063A3}"/>
    <cellStyle name="Comma 2 19" xfId="1089" xr:uid="{BCAEFD7D-8E39-4A3C-80D8-7D2A327B1519}"/>
    <cellStyle name="Comma 2 19 2" xfId="7507" xr:uid="{12CC119C-363D-4752-8D1C-27745372E905}"/>
    <cellStyle name="Comma 2 19 3" xfId="7822" xr:uid="{D548FC09-6B48-4DA3-9647-BC8C6DE17DAE}"/>
    <cellStyle name="Comma 2 2" xfId="1090" xr:uid="{E2DE8EDF-C3AD-4252-9929-54CE3D16B21D}"/>
    <cellStyle name="Comma 2 2 2" xfId="7508" xr:uid="{22D2BBE3-2907-467D-BBAF-F9203F2260ED}"/>
    <cellStyle name="Comma 2 2 3" xfId="7823" xr:uid="{EB4A10FB-C9FF-4E9B-BB3B-70FC709939EC}"/>
    <cellStyle name="Comma 2 20" xfId="1091" xr:uid="{99410BB7-01F1-419C-AE30-5A8C95015D2B}"/>
    <cellStyle name="Comma 2 20 2" xfId="7509" xr:uid="{5AE1D432-E57E-4166-ADDA-DB4840EC768A}"/>
    <cellStyle name="Comma 2 20 3" xfId="7824" xr:uid="{252F38BF-615A-4DFA-A071-F0934B6E7B67}"/>
    <cellStyle name="Comma 2 21" xfId="1092" xr:uid="{B1C26985-78DC-4481-B807-45FCC52F5829}"/>
    <cellStyle name="Comma 2 21 2" xfId="7510" xr:uid="{8D56B0DD-8257-4E25-BFC7-5A1E6A2D0B8E}"/>
    <cellStyle name="Comma 2 21 3" xfId="7825" xr:uid="{47D018E4-FEBB-410C-B888-AF462368AB74}"/>
    <cellStyle name="Comma 2 22" xfId="1093" xr:uid="{F7150B16-86F4-43AD-BEF6-A92ED86DBB64}"/>
    <cellStyle name="Comma 2 22 2" xfId="7511" xr:uid="{283C286B-DEEB-4B43-B19F-B324192F936E}"/>
    <cellStyle name="Comma 2 22 3" xfId="7826" xr:uid="{A7994C9C-1DDA-4FE7-BF6E-53FB94C90D13}"/>
    <cellStyle name="Comma 2 23" xfId="1094" xr:uid="{D2C47C04-E583-418C-8A0C-9A75C10844AC}"/>
    <cellStyle name="Comma 2 23 2" xfId="7512" xr:uid="{78A6C300-E7E4-4D38-9DB1-E358A4B51FF7}"/>
    <cellStyle name="Comma 2 23 3" xfId="7827" xr:uid="{6D07F210-29CC-4782-924F-C7234052377D}"/>
    <cellStyle name="Comma 2 24" xfId="1095" xr:uid="{A6BB2D7A-B231-4E41-AF64-4B5EDB358702}"/>
    <cellStyle name="Comma 2 24 2" xfId="7513" xr:uid="{78C53875-9A1F-48AE-932E-3936EB2D4823}"/>
    <cellStyle name="Comma 2 24 3" xfId="7828" xr:uid="{E08A51EF-C4A6-4915-B1D7-1369A5C3B515}"/>
    <cellStyle name="Comma 2 25" xfId="1096" xr:uid="{52FA6E6B-2AB8-4148-BDA7-EB6A98999C4E}"/>
    <cellStyle name="Comma 2 25 2" xfId="7514" xr:uid="{F2998425-DD61-40E5-8C67-B4E9C37F2D84}"/>
    <cellStyle name="Comma 2 25 3" xfId="7829" xr:uid="{29F86836-0696-423E-90B3-9D6FDB05CF11}"/>
    <cellStyle name="Comma 2 26" xfId="1097" xr:uid="{73945DB4-D873-45E2-BCF2-6DEB29070BA7}"/>
    <cellStyle name="Comma 2 26 2" xfId="7515" xr:uid="{3254DAAD-C1B3-4214-AC93-C2A3895BF3EC}"/>
    <cellStyle name="Comma 2 26 3" xfId="7830" xr:uid="{CFE3BC52-EB29-4243-AE4E-D4F25DB3EFA9}"/>
    <cellStyle name="Comma 2 27" xfId="1098" xr:uid="{85A3FA21-2625-460A-BC04-CA998D5360A6}"/>
    <cellStyle name="Comma 2 27 2" xfId="7516" xr:uid="{9D87EB83-FC50-4AE1-913D-D849636C43A7}"/>
    <cellStyle name="Comma 2 27 3" xfId="7831" xr:uid="{89B0AAAE-0EFD-4228-8F27-D6A3A38609B9}"/>
    <cellStyle name="Comma 2 28" xfId="1099" xr:uid="{58B1D75D-1CD4-4A92-AA22-7368D642CBD8}"/>
    <cellStyle name="Comma 2 28 2" xfId="7517" xr:uid="{AA524B7B-9149-481D-9602-969D1FB8766B}"/>
    <cellStyle name="Comma 2 28 3" xfId="7832" xr:uid="{6F388FF3-A187-4568-B26A-95AA1EAA317A}"/>
    <cellStyle name="Comma 2 29" xfId="1100" xr:uid="{C74B55F1-2436-41EF-8FA2-5AA703D40874}"/>
    <cellStyle name="Comma 2 29 2" xfId="7518" xr:uid="{6E37FE6A-FD00-4E30-966F-C36C3FE4C311}"/>
    <cellStyle name="Comma 2 29 3" xfId="7833" xr:uid="{06D7540B-AA46-408D-906E-804524993A27}"/>
    <cellStyle name="Comma 2 3" xfId="1101" xr:uid="{D4FBA980-6440-46F6-89FC-849D8ECFF720}"/>
    <cellStyle name="Comma 2 3 2" xfId="7519" xr:uid="{180EB4D7-4BAA-4048-98E0-D64295CC65C1}"/>
    <cellStyle name="Comma 2 3 3" xfId="7834" xr:uid="{CAD5EA2F-5A3E-44BA-9A08-09A7F769FEAB}"/>
    <cellStyle name="Comma 2 30" xfId="1102" xr:uid="{30932678-116E-4DCC-B419-158734D57C91}"/>
    <cellStyle name="Comma 2 30 2" xfId="7520" xr:uid="{9CC0E0CC-261A-406A-819B-641B07DE8A24}"/>
    <cellStyle name="Comma 2 30 3" xfId="7835" xr:uid="{04722C14-45B3-4C95-A108-B08D72D7E466}"/>
    <cellStyle name="Comma 2 31" xfId="1103" xr:uid="{7DB3D913-87B8-4956-853D-D78FE19533C0}"/>
    <cellStyle name="Comma 2 31 2" xfId="7521" xr:uid="{492DC81B-D463-4E43-A500-D2E4EF26D220}"/>
    <cellStyle name="Comma 2 31 3" xfId="7836" xr:uid="{801379EC-8E77-4061-9E98-D81D15D8D1EE}"/>
    <cellStyle name="Comma 2 32" xfId="1104" xr:uid="{0431106E-9553-48DF-8408-20B83D585C41}"/>
    <cellStyle name="Comma 2 32 2" xfId="7522" xr:uid="{AD712A9D-4FF2-45A2-9FBD-3565AA84C807}"/>
    <cellStyle name="Comma 2 32 3" xfId="7837" xr:uid="{573E13DD-CAE3-4D88-84B8-7736FB0761AA}"/>
    <cellStyle name="Comma 2 33" xfId="1105" xr:uid="{CDB509E1-04A1-45F9-BACE-6EA1DCB46632}"/>
    <cellStyle name="Comma 2 33 2" xfId="7523" xr:uid="{7FC96EFF-8A7E-4615-AA0B-BE591028E016}"/>
    <cellStyle name="Comma 2 33 3" xfId="7838" xr:uid="{3164AF83-0CBA-4C0E-9D44-20E85296A861}"/>
    <cellStyle name="Comma 2 34" xfId="1106" xr:uid="{4EE0578E-3254-4E0D-A37A-00859A94E985}"/>
    <cellStyle name="Comma 2 34 2" xfId="7524" xr:uid="{A5F60238-CA20-430C-9CE5-49D49113F893}"/>
    <cellStyle name="Comma 2 34 3" xfId="7839" xr:uid="{5FC99EAC-F3AE-4F4E-82DD-FC485E529F1C}"/>
    <cellStyle name="Comma 2 35" xfId="1107" xr:uid="{F696EF78-FB8C-4384-9B38-A6279C4B2798}"/>
    <cellStyle name="Comma 2 35 2" xfId="7525" xr:uid="{DE608E6D-8004-4548-A360-02D92B798EE7}"/>
    <cellStyle name="Comma 2 35 3" xfId="7840" xr:uid="{8243ABA4-58D4-4A57-B0D0-DFB2D4CC75A6}"/>
    <cellStyle name="Comma 2 36" xfId="1108" xr:uid="{AAB6F17A-48AB-4450-8442-0E8CA62F0544}"/>
    <cellStyle name="Comma 2 36 2" xfId="7526" xr:uid="{51DEC77F-C9C5-49FE-ADF4-C8EE3FDD29E7}"/>
    <cellStyle name="Comma 2 36 3" xfId="7841" xr:uid="{A8127025-EED7-42A5-BCDE-1E2E53CC565C}"/>
    <cellStyle name="Comma 2 37" xfId="7534" xr:uid="{98AF10BA-BFAF-4FEB-9FC4-4AA64CCADCBA}"/>
    <cellStyle name="Comma 2 38" xfId="7849" xr:uid="{DDCD8E46-CB60-40E0-982A-613F34E4082A}"/>
    <cellStyle name="Comma 2 4" xfId="1109" xr:uid="{6BC63665-FE0C-405E-A07C-2098B7CAF299}"/>
    <cellStyle name="Comma 2 4 2" xfId="7527" xr:uid="{F29AEB94-1CC8-4505-8CD5-4E403E32C9A7}"/>
    <cellStyle name="Comma 2 4 3" xfId="7842" xr:uid="{EB927768-E9C8-4E16-9F25-243F7341A3DE}"/>
    <cellStyle name="Comma 2 5" xfId="1110" xr:uid="{12D0274F-DF0A-4DD1-B40E-3650961E5B7C}"/>
    <cellStyle name="Comma 2 5 2" xfId="7528" xr:uid="{276441FB-AEF2-4C8E-8323-A08B3767A120}"/>
    <cellStyle name="Comma 2 5 3" xfId="7843" xr:uid="{867E0996-7B07-4A16-8048-4AB50D2E742C}"/>
    <cellStyle name="Comma 2 6" xfId="1111" xr:uid="{E674C477-8FD9-4CE1-8747-FE704EE50D36}"/>
    <cellStyle name="Comma 2 6 2" xfId="7529" xr:uid="{A3E1B585-0112-447A-BB94-0570220BA935}"/>
    <cellStyle name="Comma 2 6 3" xfId="7844" xr:uid="{C64BCD97-F071-411B-876C-F98F13A2A1A6}"/>
    <cellStyle name="Comma 2 7" xfId="1112" xr:uid="{AF5EFD17-E3AB-440E-A3B4-430CE2FC38CF}"/>
    <cellStyle name="Comma 2 7 2" xfId="7530" xr:uid="{134BF2FF-90C0-49E6-BF71-C5B104156A21}"/>
    <cellStyle name="Comma 2 7 3" xfId="7845" xr:uid="{8A65376E-434F-4B6E-8026-3C50BD58645D}"/>
    <cellStyle name="Comma 2 8" xfId="1113" xr:uid="{0CB90DDD-24FB-4C5C-9EF8-81AFA51563BE}"/>
    <cellStyle name="Comma 2 8 2" xfId="7531" xr:uid="{D29391CD-48F1-48FA-B54C-4B81F3801F85}"/>
    <cellStyle name="Comma 2 8 3" xfId="7846" xr:uid="{E190573E-D1D7-4FD4-97B0-2E9AE363E3C6}"/>
    <cellStyle name="Comma 2 9" xfId="1114" xr:uid="{9461EAAB-3C78-48D7-9150-E21F3BC7CB92}"/>
    <cellStyle name="Comma 2 9 2" xfId="7532" xr:uid="{BF384830-BB47-4FDF-99AA-72B50FE115F4}"/>
    <cellStyle name="Comma 2 9 3" xfId="7847" xr:uid="{78070EFE-154A-4062-BDEB-ECCD9399FA6E}"/>
    <cellStyle name="Comma 20" xfId="4663" xr:uid="{1AF5C85C-AFDA-40B4-9E87-598D836D0648}"/>
    <cellStyle name="Comma 20 2" xfId="7698" xr:uid="{671D8AF5-4C7A-4354-B075-6B8E3D7A5E8C}"/>
    <cellStyle name="Comma 20 3" xfId="8013" xr:uid="{9A6C1AAC-551D-4B82-857D-7C1F949128DB}"/>
    <cellStyle name="Comma 200" xfId="4664" xr:uid="{11C15FFB-05F0-4826-83B2-4F60B60D7E53}"/>
    <cellStyle name="Comma 200 2" xfId="7699" xr:uid="{004F06EC-D056-4F49-BFDE-7380D2524739}"/>
    <cellStyle name="Comma 200 3" xfId="8014" xr:uid="{A5AD02DC-AE9D-4015-864B-A4D27386EFD2}"/>
    <cellStyle name="Comma 201" xfId="4665" xr:uid="{E98B5D66-9C98-4EE3-850A-E58D6D5E9C68}"/>
    <cellStyle name="Comma 201 2" xfId="7700" xr:uid="{924BEC8E-CE99-41A0-8605-8DDBA02C34AF}"/>
    <cellStyle name="Comma 201 3" xfId="8015" xr:uid="{6FD9D82B-8066-4699-9A74-4412ADBFC3A3}"/>
    <cellStyle name="Comma 202" xfId="4666" xr:uid="{E1573AED-E377-444C-8D47-E3EF8F8FE5AC}"/>
    <cellStyle name="Comma 202 2" xfId="7701" xr:uid="{AF0D6A86-79CC-46FE-8677-133A162DF8FB}"/>
    <cellStyle name="Comma 202 3" xfId="8016" xr:uid="{E820FC06-28AE-4407-A45E-9BE6DD8BF255}"/>
    <cellStyle name="Comma 203" xfId="4667" xr:uid="{6FF9F9A2-5A7E-4846-B59A-A8976213967E}"/>
    <cellStyle name="Comma 203 2" xfId="7702" xr:uid="{1E4ED290-6664-450B-9CEE-00D6B3933CEE}"/>
    <cellStyle name="Comma 203 3" xfId="8017" xr:uid="{D444D099-5D71-4071-B203-C2C8B04FC024}"/>
    <cellStyle name="Comma 204" xfId="4668" xr:uid="{FBAEA578-C4ED-4DE7-8527-F81871E55F0E}"/>
    <cellStyle name="Comma 204 2" xfId="7703" xr:uid="{C10661B6-0B2B-449B-9210-81550655FD09}"/>
    <cellStyle name="Comma 204 3" xfId="8018" xr:uid="{B9A25C7E-4FF7-43B6-AC72-CACC067CC964}"/>
    <cellStyle name="Comma 205" xfId="4669" xr:uid="{29A94978-FFC5-48A1-BF0A-9AAC7B0EAC83}"/>
    <cellStyle name="Comma 205 2" xfId="7704" xr:uid="{BFD4945D-7EE3-42E7-983A-7B34E91B3A4E}"/>
    <cellStyle name="Comma 205 3" xfId="8019" xr:uid="{8F81915C-385C-4037-B3FB-7052750C4521}"/>
    <cellStyle name="Comma 206" xfId="4670" xr:uid="{3C908B43-66F8-4BC5-B2C3-AF38D1BFA5A1}"/>
    <cellStyle name="Comma 206 2" xfId="7705" xr:uid="{9E13A745-0A24-42A7-93F6-0DDD0BF0468F}"/>
    <cellStyle name="Comma 206 3" xfId="8020" xr:uid="{9C2011FD-93B9-4AA6-BFD5-63301F48729D}"/>
    <cellStyle name="Comma 207" xfId="4671" xr:uid="{916BAF35-B6A5-4F3C-866C-BCFC79CFCC89}"/>
    <cellStyle name="Comma 207 2" xfId="7706" xr:uid="{E5F0A23B-3905-44A9-A53E-BC13DD34C465}"/>
    <cellStyle name="Comma 207 3" xfId="8021" xr:uid="{727C3C8B-6507-4F49-84A1-E7C7E7948A15}"/>
    <cellStyle name="Comma 208" xfId="4672" xr:uid="{11B9F112-A0B1-4113-A377-63CC3E72423C}"/>
    <cellStyle name="Comma 208 2" xfId="7707" xr:uid="{4A5F684C-A8B1-4FE8-BD08-9BC6486A3F66}"/>
    <cellStyle name="Comma 208 3" xfId="8022" xr:uid="{FCAEC712-CFB4-4E80-98FA-DE7E9580B943}"/>
    <cellStyle name="Comma 209" xfId="4673" xr:uid="{79B4A9FA-7FD8-4F39-9830-B3552BB19A92}"/>
    <cellStyle name="Comma 209 2" xfId="7708" xr:uid="{049DB600-47CB-497B-A133-06DC0D463063}"/>
    <cellStyle name="Comma 209 3" xfId="8023" xr:uid="{FCBA693A-C256-4C6D-BB88-25533CA2A2DE}"/>
    <cellStyle name="Comma 21" xfId="4674" xr:uid="{4FD2F2B8-757B-402E-A165-D87760C6A475}"/>
    <cellStyle name="Comma 21 2" xfId="7709" xr:uid="{819A20AC-1ADA-4499-B1B7-FAE02CE4F1C0}"/>
    <cellStyle name="Comma 21 3" xfId="8024" xr:uid="{D5A4B672-BDC8-444F-9485-A663B3B8FC53}"/>
    <cellStyle name="Comma 210" xfId="4675" xr:uid="{A16005A6-D725-49A8-819F-9CD47007085F}"/>
    <cellStyle name="Comma 210 2" xfId="7710" xr:uid="{5D818A0F-FC13-4367-821B-BE0BA4FF6C02}"/>
    <cellStyle name="Comma 210 3" xfId="8025" xr:uid="{A669EDC0-2FAD-4751-8967-F4FA37A4D0FA}"/>
    <cellStyle name="Comma 211" xfId="4676" xr:uid="{CD80BA93-81BD-4A46-B70E-8C4292414CE5}"/>
    <cellStyle name="Comma 211 2" xfId="7711" xr:uid="{B1B9C821-1D06-4F0F-97C5-D5E370F3EA4E}"/>
    <cellStyle name="Comma 211 3" xfId="8026" xr:uid="{EEF800CA-9CD3-46F9-9AC4-F248BA448090}"/>
    <cellStyle name="Comma 212" xfId="4677" xr:uid="{FDF63FA7-043D-4335-A2C1-412734202BF6}"/>
    <cellStyle name="Comma 212 2" xfId="7712" xr:uid="{BEC10827-848B-40EE-A942-B51867D21F38}"/>
    <cellStyle name="Comma 212 3" xfId="8027" xr:uid="{41BE38D1-C83E-4F09-89DA-8024D0E1D4AF}"/>
    <cellStyle name="Comma 213" xfId="4678" xr:uid="{937CD1A3-949F-4653-A735-2BF155D9DB32}"/>
    <cellStyle name="Comma 213 2" xfId="7713" xr:uid="{58C44DB5-84E2-42F8-A25F-3C07D2D8B43C}"/>
    <cellStyle name="Comma 213 3" xfId="8028" xr:uid="{5F2D8D17-9049-4499-BC79-A5B1A020FCF9}"/>
    <cellStyle name="Comma 214" xfId="4679" xr:uid="{476B03E0-B9F1-4F4F-8A57-B2546BC7CAAD}"/>
    <cellStyle name="Comma 214 2" xfId="7714" xr:uid="{AAC04F6A-1FCD-46C9-8FED-F63AD5620BD8}"/>
    <cellStyle name="Comma 214 3" xfId="8029" xr:uid="{DF4DDA68-63D2-45DB-B99A-61A3F375D770}"/>
    <cellStyle name="Comma 215" xfId="4680" xr:uid="{5861036A-B318-408C-B40B-BC058B0F7F9E}"/>
    <cellStyle name="Comma 215 2" xfId="7715" xr:uid="{BD259F47-1C3D-46E6-820D-7ADAA3D5DBC1}"/>
    <cellStyle name="Comma 215 3" xfId="8030" xr:uid="{3A960D92-19A3-4C10-ADA9-CAD4E1BFD4C7}"/>
    <cellStyle name="Comma 216" xfId="4681" xr:uid="{AD12A601-FC22-47CC-B91E-835D9B28B5EE}"/>
    <cellStyle name="Comma 216 2" xfId="7716" xr:uid="{E038892F-F6CE-4D4D-8ECB-D10FF32AD82C}"/>
    <cellStyle name="Comma 216 3" xfId="8031" xr:uid="{25EFDDF9-E597-4E54-B486-FB7D1B4DE6C7}"/>
    <cellStyle name="Comma 217" xfId="4682" xr:uid="{918708E2-6DFF-48BF-95EC-36C22D6D49AA}"/>
    <cellStyle name="Comma 217 2" xfId="7717" xr:uid="{227AB033-6276-42B8-B155-C5978065F12C}"/>
    <cellStyle name="Comma 217 3" xfId="8032" xr:uid="{1AE44E97-309C-4C52-AE76-AD387AB679B9}"/>
    <cellStyle name="Comma 218" xfId="4683" xr:uid="{9335318B-21A5-4541-8AC4-14C0ABAA8FB5}"/>
    <cellStyle name="Comma 218 2" xfId="7718" xr:uid="{A5BC8549-84C2-45FC-9F18-3194BA6F7839}"/>
    <cellStyle name="Comma 218 3" xfId="8033" xr:uid="{34F51022-1F61-4D10-AD41-5EEE5D80BDF0}"/>
    <cellStyle name="Comma 219" xfId="4684" xr:uid="{8503ABB1-3030-42B7-9B65-8B415A02CE40}"/>
    <cellStyle name="Comma 219 2" xfId="7719" xr:uid="{F93D52F2-BEC2-4DC2-8947-5FA02169BBAA}"/>
    <cellStyle name="Comma 219 3" xfId="8034" xr:uid="{A94339BE-983A-49D0-84A9-2B6F3373A3C0}"/>
    <cellStyle name="Comma 22" xfId="4685" xr:uid="{2BC481B0-B303-4DCB-B1C3-4DFDBEC04DD6}"/>
    <cellStyle name="Comma 22 2" xfId="7720" xr:uid="{935A2BF0-9B0C-42C1-83A7-DEC1EBF27E93}"/>
    <cellStyle name="Comma 22 3" xfId="8035" xr:uid="{55B3AF6A-90C5-4738-937C-30130DEF45F5}"/>
    <cellStyle name="Comma 220" xfId="4686" xr:uid="{1A346DDB-371C-4EB3-AE47-20B424EDE7F3}"/>
    <cellStyle name="Comma 220 2" xfId="7721" xr:uid="{9B106F4E-83A0-4D53-BFE7-E9ADA8E2073A}"/>
    <cellStyle name="Comma 220 3" xfId="8036" xr:uid="{0269ADDD-3DA3-4E3F-931D-F5F9810B04C8}"/>
    <cellStyle name="Comma 221" xfId="4687" xr:uid="{DAABF109-34C0-4FC9-86AA-4AB63659E963}"/>
    <cellStyle name="Comma 221 2" xfId="7722" xr:uid="{E9B64894-96FE-4D1A-9B5B-571E0E46E670}"/>
    <cellStyle name="Comma 221 3" xfId="8037" xr:uid="{D6AF265C-E1C0-483C-9B9F-73C9E2EDF222}"/>
    <cellStyle name="Comma 222" xfId="4688" xr:uid="{4DAEAA61-DDC3-4687-BF51-9953D4F24331}"/>
    <cellStyle name="Comma 222 2" xfId="7723" xr:uid="{98586A4A-8CBE-45B4-9F2F-8D7A0A915AE0}"/>
    <cellStyle name="Comma 222 3" xfId="8038" xr:uid="{ED6257DB-3A13-4682-91FF-52C29752CEE5}"/>
    <cellStyle name="Comma 223" xfId="4689" xr:uid="{AB74D323-88BF-4B93-8F2A-4936AC8F1B55}"/>
    <cellStyle name="Comma 223 2" xfId="7724" xr:uid="{8D16186C-316B-40B0-AB7E-76C046AD282D}"/>
    <cellStyle name="Comma 223 3" xfId="8039" xr:uid="{EE6821A9-5B59-4EF5-958C-67CEC693A0AC}"/>
    <cellStyle name="Comma 224" xfId="7496" xr:uid="{9EE44EA5-A41D-47FB-A64B-59694B752B40}"/>
    <cellStyle name="Comma 225" xfId="7811" xr:uid="{04945F39-581F-42B5-9C9E-DAD81BC6275E}"/>
    <cellStyle name="Comma 226" xfId="8137" xr:uid="{B59359FD-9326-41D2-B272-0BCA0F4E4A1A}"/>
    <cellStyle name="Comma 227" xfId="8138" xr:uid="{42471E00-BB28-4BCF-9030-1BDDDFB16D1D}"/>
    <cellStyle name="Comma 228" xfId="8139" xr:uid="{01C4F443-856B-470B-A1BC-F7971693EABE}"/>
    <cellStyle name="Comma 23" xfId="4690" xr:uid="{CED61F2A-A3C8-448E-B18B-690231B0FD96}"/>
    <cellStyle name="Comma 23 2" xfId="7725" xr:uid="{CC83BFE4-CD71-4D5B-9D2B-42AB657EEFBE}"/>
    <cellStyle name="Comma 23 3" xfId="8040" xr:uid="{9775C381-B7FC-4886-9A02-8F04481BC676}"/>
    <cellStyle name="Comma 24" xfId="4691" xr:uid="{B24C0F7B-6268-48CD-8232-42291E988957}"/>
    <cellStyle name="Comma 24 2" xfId="7726" xr:uid="{F60645F8-F58C-464A-A0E3-650D36ABF9B4}"/>
    <cellStyle name="Comma 24 3" xfId="8041" xr:uid="{357099CF-8574-4DA4-BD4A-3D4F22BE83A1}"/>
    <cellStyle name="Comma 25" xfId="4692" xr:uid="{82D557AE-32EE-4F23-8421-D87ED2BC8080}"/>
    <cellStyle name="Comma 25 2" xfId="7727" xr:uid="{61D2675E-A2E8-4B60-8858-7BC1B5CE293E}"/>
    <cellStyle name="Comma 25 3" xfId="8042" xr:uid="{93AAA0EA-2C77-4463-A111-7474AB3FC1D5}"/>
    <cellStyle name="Comma 26" xfId="4693" xr:uid="{5B233D4A-161E-4F60-8149-73F56E0D1B79}"/>
    <cellStyle name="Comma 26 2" xfId="7728" xr:uid="{628F239B-52D7-45FE-BD83-CB4F2AAA826D}"/>
    <cellStyle name="Comma 26 3" xfId="8043" xr:uid="{E833BA52-661E-470D-A47C-4E394B31F0BB}"/>
    <cellStyle name="Comma 27" xfId="4694" xr:uid="{EACA1E81-1A1A-4DE0-8638-E73C3EABA8BE}"/>
    <cellStyle name="Comma 27 2" xfId="7729" xr:uid="{0F84CEE6-5A58-450F-9E5E-53E76783EE31}"/>
    <cellStyle name="Comma 27 3" xfId="8044" xr:uid="{AA416DA0-97E9-4712-9770-3FDD4795477E}"/>
    <cellStyle name="Comma 28" xfId="4695" xr:uid="{A1A56278-913A-4661-88F5-8CAC4E51983D}"/>
    <cellStyle name="Comma 28 2" xfId="7730" xr:uid="{9D8991DC-2270-4BBC-8845-B65DE1729E21}"/>
    <cellStyle name="Comma 28 3" xfId="8045" xr:uid="{F80AF31D-02C8-4C43-95E0-0A3FC4C76737}"/>
    <cellStyle name="Comma 29" xfId="4696" xr:uid="{0A88EA6A-F129-4367-BD22-D82FCAD7D13F}"/>
    <cellStyle name="Comma 29 2" xfId="7731" xr:uid="{245E761B-A7E6-4EE7-9615-88E23B448D0F}"/>
    <cellStyle name="Comma 29 3" xfId="8046" xr:uid="{76941072-46D7-4518-A004-85CD424887D8}"/>
    <cellStyle name="Comma 3" xfId="1976" xr:uid="{3E55ABA8-6788-42CE-8F75-F09E25BB4B34}"/>
    <cellStyle name="Comma 3 2" xfId="2465" xr:uid="{A7EB2C11-6D63-4668-8EBA-49DA956B93EB}"/>
    <cellStyle name="Comma 3 2 2" xfId="7574" xr:uid="{D6BAEFEE-E49B-4958-A913-F28648EC9AD6}"/>
    <cellStyle name="Comma 3 2 3" xfId="7889" xr:uid="{21F742DC-1DD6-4135-B438-21976120A7FC}"/>
    <cellStyle name="Comma 3 3" xfId="7535" xr:uid="{D034D7EC-D45A-4F8F-B15B-678F7C486E8B}"/>
    <cellStyle name="Comma 3 4" xfId="7850" xr:uid="{337AECC2-D398-4637-A8A9-A03B08098F37}"/>
    <cellStyle name="Comma 30" xfId="4697" xr:uid="{2F04BEFB-0A68-4FB1-A124-2C17320489FE}"/>
    <cellStyle name="Comma 30 2" xfId="7732" xr:uid="{0CB8BDF6-FD15-4CC5-A53F-B3CDD90404E9}"/>
    <cellStyle name="Comma 30 3" xfId="8047" xr:uid="{F5A86C83-A0BD-4318-A437-D48082C80D06}"/>
    <cellStyle name="Comma 31" xfId="4698" xr:uid="{8057B795-36FA-4D94-8209-C6C72A59D257}"/>
    <cellStyle name="Comma 31 2" xfId="7733" xr:uid="{85A59891-B64C-44BD-9D19-D329C8318DB0}"/>
    <cellStyle name="Comma 31 3" xfId="8048" xr:uid="{584320AC-4F0D-4E4C-B232-46BE147C4455}"/>
    <cellStyle name="Comma 32" xfId="4699" xr:uid="{C8BF35FC-6061-4250-9549-88E6FF32E328}"/>
    <cellStyle name="Comma 32 2" xfId="7734" xr:uid="{DCACC839-FA78-4AB3-8C20-32FF73EBB195}"/>
    <cellStyle name="Comma 32 3" xfId="8049" xr:uid="{5F84A0F5-AE39-447F-A99C-99FCA2A562FD}"/>
    <cellStyle name="Comma 33" xfId="4700" xr:uid="{643491DC-41F0-4DB4-A0C1-BE250B69C550}"/>
    <cellStyle name="Comma 33 2" xfId="7735" xr:uid="{2BA6D3D8-0CCD-46F4-B15B-40BA0FC71E47}"/>
    <cellStyle name="Comma 33 3" xfId="8050" xr:uid="{15CA75D0-0415-4F25-9F72-FA98F686A97C}"/>
    <cellStyle name="Comma 34" xfId="4701" xr:uid="{D44A0885-CBCB-4636-9BD0-E03D97B67C93}"/>
    <cellStyle name="Comma 34 2" xfId="7736" xr:uid="{2652A6FF-735F-41D6-9753-76874656CA72}"/>
    <cellStyle name="Comma 34 3" xfId="8051" xr:uid="{3238D3B0-9B5C-4F41-A3D1-93488ACFCD67}"/>
    <cellStyle name="Comma 35" xfId="4702" xr:uid="{74B1E5E1-361D-4B69-946A-9F00BFEB6BE0}"/>
    <cellStyle name="Comma 35 2" xfId="7737" xr:uid="{099A20A2-2B03-43BC-AC6A-EE6EE3B4257F}"/>
    <cellStyle name="Comma 35 3" xfId="8052" xr:uid="{09686F99-6529-4582-84C9-AE828D3EC6D4}"/>
    <cellStyle name="Comma 36" xfId="4703" xr:uid="{7A0BCF82-A8C0-43A9-A911-074DE54B9868}"/>
    <cellStyle name="Comma 36 2" xfId="7738" xr:uid="{A6C7758C-3190-4173-9826-3CF447094DB6}"/>
    <cellStyle name="Comma 36 3" xfId="8053" xr:uid="{4186414A-A3E2-41BA-BE2D-EF4932DC3F5E}"/>
    <cellStyle name="Comma 37" xfId="4704" xr:uid="{72DD7D24-A572-4368-9B85-119F22F86A63}"/>
    <cellStyle name="Comma 37 2" xfId="7739" xr:uid="{4F02AF6D-2EC1-4313-A116-F4BC11ABDC38}"/>
    <cellStyle name="Comma 37 3" xfId="8054" xr:uid="{D4C3B022-02CF-4085-A7FC-4AC6E4938BBA}"/>
    <cellStyle name="Comma 38" xfId="4705" xr:uid="{AD8DC6BC-302E-47AD-9CEC-162CBA59E8A4}"/>
    <cellStyle name="Comma 38 2" xfId="7740" xr:uid="{47D4CD67-D427-415F-865A-AB4E8410921C}"/>
    <cellStyle name="Comma 38 3" xfId="8055" xr:uid="{C03D39FF-40EF-402E-AFCD-A2692CBF24F8}"/>
    <cellStyle name="Comma 39" xfId="4706" xr:uid="{450A66A2-AF71-4FA7-86F7-7C86408404FE}"/>
    <cellStyle name="Comma 39 2" xfId="7741" xr:uid="{DA23F58B-EF5F-4250-B835-C42288C8B68B}"/>
    <cellStyle name="Comma 39 3" xfId="8056" xr:uid="{1871187D-55F7-4A86-8700-87B375576319}"/>
    <cellStyle name="Comma 4" xfId="1977" xr:uid="{C6EBFE2B-0CD0-480B-A60F-207C74636257}"/>
    <cellStyle name="Comma 4 2" xfId="2466" xr:uid="{BD01C4F6-549B-4796-992A-937A1B3D0920}"/>
    <cellStyle name="Comma 4 2 2" xfId="7575" xr:uid="{17BE6D37-9705-438E-B148-1A486310A591}"/>
    <cellStyle name="Comma 4 2 3" xfId="7890" xr:uid="{3D9584A1-7918-4211-ADC4-455A2FE3A1A4}"/>
    <cellStyle name="Comma 4 3" xfId="7536" xr:uid="{74462B48-C74E-49CB-A38F-3D73F4A1124A}"/>
    <cellStyle name="Comma 4 4" xfId="7851" xr:uid="{D1AA59D4-8B63-4978-8193-CE31DC3A3544}"/>
    <cellStyle name="Comma 40" xfId="4707" xr:uid="{F74BBF49-9298-4136-959A-332A84596A4F}"/>
    <cellStyle name="Comma 40 2" xfId="7742" xr:uid="{AB786729-9035-46A6-87FF-FCA52C7A51E7}"/>
    <cellStyle name="Comma 40 3" xfId="8057" xr:uid="{70C43BCC-70BA-4CB0-ACC6-6B8DDCE5ABB8}"/>
    <cellStyle name="Comma 41" xfId="4708" xr:uid="{51039F30-458C-4A49-960C-9179BC24E8CF}"/>
    <cellStyle name="Comma 41 2" xfId="7743" xr:uid="{335A00DA-7420-4E0D-A97D-4138FD26BD8D}"/>
    <cellStyle name="Comma 41 3" xfId="8058" xr:uid="{1DB6C8A2-4123-4D30-9B37-2246151AFA93}"/>
    <cellStyle name="Comma 42" xfId="4709" xr:uid="{7B033629-DC59-495F-B4EE-AC2269E1CDA6}"/>
    <cellStyle name="Comma 42 2" xfId="7744" xr:uid="{83CFDCE7-9403-414A-80BB-0749A7DB54AD}"/>
    <cellStyle name="Comma 42 3" xfId="8059" xr:uid="{8A547680-6803-4221-81BF-E8C75C7EFF33}"/>
    <cellStyle name="Comma 43" xfId="4710" xr:uid="{D75C678D-6EF4-4BF6-AFF4-53BE39147B52}"/>
    <cellStyle name="Comma 43 2" xfId="7745" xr:uid="{8466353A-6727-4E02-BABD-93D1B40B1B5C}"/>
    <cellStyle name="Comma 43 3" xfId="8060" xr:uid="{3AA84D51-93C1-4836-B087-1D976EE01848}"/>
    <cellStyle name="Comma 44" xfId="4711" xr:uid="{B974218A-CAE5-4C07-A43F-EC2EAE281E47}"/>
    <cellStyle name="Comma 44 2" xfId="7746" xr:uid="{B6AC6767-B262-4303-B695-732438EAD416}"/>
    <cellStyle name="Comma 44 3" xfId="8061" xr:uid="{3078C0AB-88C9-4EF0-A0FB-C2A039FFB28E}"/>
    <cellStyle name="Comma 45" xfId="4712" xr:uid="{FA4BA12E-0017-4AF2-BCBA-9C5C3341CFE9}"/>
    <cellStyle name="Comma 45 2" xfId="7747" xr:uid="{ADD6A7C9-15EB-4F1D-A90D-1A4A630A2524}"/>
    <cellStyle name="Comma 45 3" xfId="8062" xr:uid="{3B4520E6-934C-4365-A374-78B2C845C627}"/>
    <cellStyle name="Comma 46" xfId="4713" xr:uid="{4927E5C3-4AF2-4B28-944A-5BAA6E363C2F}"/>
    <cellStyle name="Comma 46 2" xfId="7748" xr:uid="{2F6D313F-A8B7-4711-B77C-759FAB0C03F4}"/>
    <cellStyle name="Comma 46 3" xfId="8063" xr:uid="{10477474-D3D6-457D-9862-1F602E7B86FA}"/>
    <cellStyle name="Comma 47" xfId="4714" xr:uid="{D6CAB5ED-3281-461A-88A9-E0B8092943A8}"/>
    <cellStyle name="Comma 47 2" xfId="7749" xr:uid="{D151191D-CECB-45F4-B8D7-8253D051762C}"/>
    <cellStyle name="Comma 47 3" xfId="8064" xr:uid="{2F3BDD66-0248-4663-B9FD-CE9530134AAC}"/>
    <cellStyle name="Comma 48" xfId="4715" xr:uid="{EEE28DCC-49F4-465B-B7A0-0ABAE3433264}"/>
    <cellStyle name="Comma 48 2" xfId="7750" xr:uid="{8A804B0C-F067-45AE-AFA7-5A9BC5084418}"/>
    <cellStyle name="Comma 48 3" xfId="8065" xr:uid="{44D638B0-EF52-485C-9055-7976D940CB8E}"/>
    <cellStyle name="Comma 49" xfId="4716" xr:uid="{9357A6D5-258C-4683-A13E-0B886438C08C}"/>
    <cellStyle name="Comma 49 2" xfId="7751" xr:uid="{99AF8634-61EE-4214-9DDF-35F88EC4BF8D}"/>
    <cellStyle name="Comma 49 3" xfId="8066" xr:uid="{F57D6358-20AC-417A-9918-035D34CFE0C0}"/>
    <cellStyle name="Comma 5" xfId="1978" xr:uid="{8EB1E118-9F69-4CA6-B684-3213558E1314}"/>
    <cellStyle name="Comma 5 2" xfId="2467" xr:uid="{81C6ED84-821C-4D11-A9DF-51A065D1C00D}"/>
    <cellStyle name="Comma 5 2 2" xfId="7576" xr:uid="{074D2FBF-8A94-4317-B9FF-2427F72D3199}"/>
    <cellStyle name="Comma 5 2 3" xfId="7891" xr:uid="{0E7AA9DA-0FAF-47D5-9EED-37C6091AC6D6}"/>
    <cellStyle name="Comma 5 3" xfId="7537" xr:uid="{30EA9C0F-423B-415E-AB94-576B9B6B848E}"/>
    <cellStyle name="Comma 5 4" xfId="7852" xr:uid="{542391F3-6779-48AD-9340-03FD17E4498F}"/>
    <cellStyle name="Comma 50" xfId="4717" xr:uid="{78DA8970-87C4-4011-AE2B-9F0D063D241F}"/>
    <cellStyle name="Comma 50 2" xfId="7752" xr:uid="{ABA0EBA7-082B-4896-A4B9-B41C66976D9B}"/>
    <cellStyle name="Comma 50 3" xfId="8067" xr:uid="{81CA5D84-8BE4-42DD-94B0-C3E6FE88A4A1}"/>
    <cellStyle name="Comma 51" xfId="4718" xr:uid="{E6CB9B3D-DEFD-45F3-8875-B19276929DBD}"/>
    <cellStyle name="Comma 51 2" xfId="7753" xr:uid="{B8FB299E-FA2F-4524-977E-03035514E0AB}"/>
    <cellStyle name="Comma 51 3" xfId="8068" xr:uid="{C6CD9456-4179-439E-8B67-C37EE207CDEE}"/>
    <cellStyle name="Comma 52" xfId="4719" xr:uid="{F759CC3A-6FA0-4FD1-BC2C-6CED92FDCF33}"/>
    <cellStyle name="Comma 52 2" xfId="7754" xr:uid="{02DA10D1-70E7-43C5-AD24-665F3308833E}"/>
    <cellStyle name="Comma 52 3" xfId="8069" xr:uid="{F18F76E3-E233-4512-9496-0D42B46C1DDA}"/>
    <cellStyle name="Comma 53" xfId="4720" xr:uid="{29B7CA0C-EAE5-414A-9CFD-714CD8E0A370}"/>
    <cellStyle name="Comma 53 2" xfId="7755" xr:uid="{3495BE21-5A13-4057-9010-4CC796234513}"/>
    <cellStyle name="Comma 53 3" xfId="8070" xr:uid="{C20A8EE1-4D78-4BF6-B46D-F60FFE2B8FCE}"/>
    <cellStyle name="Comma 54" xfId="4721" xr:uid="{CC49216E-3236-4E39-A5E4-AF2ACDDB4913}"/>
    <cellStyle name="Comma 54 2" xfId="7756" xr:uid="{211AE6E8-17D4-4167-B35D-54D0709C8C9E}"/>
    <cellStyle name="Comma 54 3" xfId="8071" xr:uid="{39C27FC1-636A-4B94-AB56-3AC0A9354EA6}"/>
    <cellStyle name="Comma 55" xfId="4722" xr:uid="{FF21E43D-E414-4421-BBA6-C2674383C667}"/>
    <cellStyle name="Comma 55 2" xfId="7757" xr:uid="{196F1FF3-A010-4BA6-A798-CECE49B0BFCB}"/>
    <cellStyle name="Comma 55 3" xfId="8072" xr:uid="{59772D6E-CF90-4B75-8968-5F764145CEC2}"/>
    <cellStyle name="Comma 56" xfId="4723" xr:uid="{FB32F4C6-534C-4A72-8B58-8BCE2F8AD7A3}"/>
    <cellStyle name="Comma 56 2" xfId="7758" xr:uid="{38288A36-0DB5-4447-AF5F-68140C8AC3E6}"/>
    <cellStyle name="Comma 56 3" xfId="8073" xr:uid="{4978AE4F-8EBF-4621-8B70-CA80C7247885}"/>
    <cellStyle name="Comma 57" xfId="4724" xr:uid="{62AAEED3-840E-4B6A-A134-B162D7FBC3E1}"/>
    <cellStyle name="Comma 57 2" xfId="7759" xr:uid="{5D70ADB2-9331-483E-8013-D19FDB3FEE6A}"/>
    <cellStyle name="Comma 57 3" xfId="8074" xr:uid="{07FE082F-F4BA-41E7-B3FB-EB2B8F357EEE}"/>
    <cellStyle name="Comma 58" xfId="4725" xr:uid="{45ECC99F-0AB6-4999-8279-997A2858FF96}"/>
    <cellStyle name="Comma 58 2" xfId="7760" xr:uid="{9970BFA3-F826-4909-8E06-BD56CF29B390}"/>
    <cellStyle name="Comma 58 3" xfId="8075" xr:uid="{88824F5A-F67F-4529-BE3A-ACBE01E64919}"/>
    <cellStyle name="Comma 59" xfId="4726" xr:uid="{489DADA1-0B1B-4FA6-95E9-01C85400F4F8}"/>
    <cellStyle name="Comma 59 2" xfId="7761" xr:uid="{86803930-5C47-4E75-A76B-3B4807D0FBC6}"/>
    <cellStyle name="Comma 59 3" xfId="8076" xr:uid="{BF08AB2B-9F1F-4446-BB18-D81D07A41621}"/>
    <cellStyle name="Comma 6" xfId="2436" xr:uid="{0DE34068-772A-4A39-B059-0A337CFD113F}"/>
    <cellStyle name="Comma 6 2" xfId="2565" xr:uid="{33B06347-2124-4882-BD2D-BF7AD358CB42}"/>
    <cellStyle name="Comma 6 2 2" xfId="7581" xr:uid="{E580EAB1-6EB6-412D-96F5-DAB2906BD071}"/>
    <cellStyle name="Comma 6 2 3" xfId="7896" xr:uid="{971CD7ED-DDB8-4D88-B2BE-2F9E94334C52}"/>
    <cellStyle name="Comma 6 3" xfId="4727" xr:uid="{CD71848A-06AD-419B-B054-97A8D9FBABE4}"/>
    <cellStyle name="Comma 6 3 2" xfId="7762" xr:uid="{F3E5960B-8D40-4E45-8A2B-FFF2C50AAAAA}"/>
    <cellStyle name="Comma 6 3 3" xfId="8077" xr:uid="{D9CB2B1A-C90B-4EC0-8615-3922A8286A9A}"/>
    <cellStyle name="Comma 6 4" xfId="7573" xr:uid="{014BB78B-1C05-4B28-9BB3-C7692E77A1A2}"/>
    <cellStyle name="Comma 6 5" xfId="7888" xr:uid="{9A210599-2872-44BF-B491-CE9AAA27F7F5}"/>
    <cellStyle name="Comma 60" xfId="4728" xr:uid="{9D11213A-8310-405B-9597-CDBF4FCF87BD}"/>
    <cellStyle name="Comma 60 2" xfId="7763" xr:uid="{3F224805-B8C9-4E6A-89C3-A6E236E21811}"/>
    <cellStyle name="Comma 60 3" xfId="8078" xr:uid="{EF742DC8-4003-43F8-ACB3-0FF1B91C425A}"/>
    <cellStyle name="Comma 61" xfId="4729" xr:uid="{F01DBEB1-CC68-41A0-9279-3D2F0EB33EBC}"/>
    <cellStyle name="Comma 61 2" xfId="7764" xr:uid="{E5AFFC3C-B693-402B-8DE0-24D5AE72E948}"/>
    <cellStyle name="Comma 61 3" xfId="8079" xr:uid="{25FC8CD0-D706-46C3-8CBE-BDEF0591BD85}"/>
    <cellStyle name="Comma 62" xfId="4730" xr:uid="{D701FBAA-2AA7-45F8-B0D0-D43A0505A8B8}"/>
    <cellStyle name="Comma 62 2" xfId="7765" xr:uid="{2820240E-58C7-43C9-8A8B-1AEA00A1FF6B}"/>
    <cellStyle name="Comma 62 3" xfId="8080" xr:uid="{B1E7DEA0-3C72-414D-8069-78529E719039}"/>
    <cellStyle name="Comma 63" xfId="4731" xr:uid="{F8B4813E-4A6D-4BD3-BFF9-A540DFEFE05B}"/>
    <cellStyle name="Comma 63 2" xfId="7766" xr:uid="{E3DF66D2-5ECC-4043-937D-4DA95F73FB0C}"/>
    <cellStyle name="Comma 63 3" xfId="8081" xr:uid="{D824021B-759F-4FEA-B019-F331C5E6474A}"/>
    <cellStyle name="Comma 64" xfId="4732" xr:uid="{EDD70C30-ED14-4E96-AA1F-3D0BAC9E81A4}"/>
    <cellStyle name="Comma 64 2" xfId="7767" xr:uid="{A73E72F2-89F9-4212-BF44-BF07FB26F826}"/>
    <cellStyle name="Comma 64 3" xfId="8082" xr:uid="{C15BCF65-AC8B-4633-B71B-AD8411547DD5}"/>
    <cellStyle name="Comma 65" xfId="4733" xr:uid="{D58E55BE-F6E0-4145-BA8A-9BA055B291AA}"/>
    <cellStyle name="Comma 65 2" xfId="7768" xr:uid="{B0EE6D8D-4191-49E1-88B8-1C79E55C106C}"/>
    <cellStyle name="Comma 65 3" xfId="8083" xr:uid="{38EB553E-6083-4435-99F7-852BFEB1C27D}"/>
    <cellStyle name="Comma 66" xfId="4734" xr:uid="{4C9652FC-F932-4C18-8E2C-40103AEB4E14}"/>
    <cellStyle name="Comma 66 2" xfId="7769" xr:uid="{0F20BCEB-53FB-46EF-9824-63B9F1766414}"/>
    <cellStyle name="Comma 66 3" xfId="8084" xr:uid="{6FEC3203-BC3B-4406-A967-2B03BD94C5EA}"/>
    <cellStyle name="Comma 67" xfId="4735" xr:uid="{D79FA973-C2DE-4475-A906-B33A0013F99E}"/>
    <cellStyle name="Comma 67 2" xfId="7770" xr:uid="{BCEBE703-803D-4DB2-83C6-D3493E56D477}"/>
    <cellStyle name="Comma 67 3" xfId="8085" xr:uid="{ADD23C2C-618B-4DB8-8F8F-A28415A8503E}"/>
    <cellStyle name="Comma 68" xfId="4736" xr:uid="{324A5FE9-4134-4F6C-ACC7-B3FB345C24F4}"/>
    <cellStyle name="Comma 68 2" xfId="7771" xr:uid="{36396B92-17CC-42F0-87F6-3FEE58748CA0}"/>
    <cellStyle name="Comma 68 3" xfId="8086" xr:uid="{3791E7A8-A810-4379-BA43-5F84DF84C3F5}"/>
    <cellStyle name="Comma 69" xfId="4737" xr:uid="{CD345751-4CFA-4D6B-9EDF-18353D2C0BA0}"/>
    <cellStyle name="Comma 69 2" xfId="7772" xr:uid="{5ADCF0E0-7678-422E-84CF-B76C0C8863DB}"/>
    <cellStyle name="Comma 69 3" xfId="8087" xr:uid="{EEA87DEE-D524-498E-B14A-42A0A547B919}"/>
    <cellStyle name="Comma 7" xfId="4738" xr:uid="{FEC13870-96E5-418E-BAC2-A353AFD8AB7F}"/>
    <cellStyle name="Comma 7 2" xfId="4739" xr:uid="{1D052170-9A46-437A-9CE5-211D78458082}"/>
    <cellStyle name="Comma 7 2 2" xfId="7774" xr:uid="{B783A8ED-EE04-43F5-A09D-29DAC9174781}"/>
    <cellStyle name="Comma 7 2 3" xfId="8089" xr:uid="{D9A1504B-AFE2-40CB-8489-7D4DF98D85D6}"/>
    <cellStyle name="Comma 7 3" xfId="7773" xr:uid="{0CFB8F9C-575F-41A5-A914-65FADCA65CBA}"/>
    <cellStyle name="Comma 7 4" xfId="8088" xr:uid="{26A57B29-A68D-491F-A033-5D8CFE12BE0C}"/>
    <cellStyle name="Comma 70" xfId="4740" xr:uid="{953C6179-A398-45F4-86E1-CC0E5311163C}"/>
    <cellStyle name="Comma 70 2" xfId="7775" xr:uid="{69BAE59E-7D9A-4596-9CF0-DDA6A5B496AA}"/>
    <cellStyle name="Comma 70 3" xfId="8090" xr:uid="{97314527-6673-409A-9133-E59A7314DF4E}"/>
    <cellStyle name="Comma 71" xfId="4741" xr:uid="{060124A8-2DA1-4A23-817F-40DBAB92A150}"/>
    <cellStyle name="Comma 71 2" xfId="7776" xr:uid="{3DF7A498-86A8-461C-A64C-CAF38183C2EA}"/>
    <cellStyle name="Comma 71 3" xfId="8091" xr:uid="{BDE62049-B8B9-4725-91DE-5507DB11142C}"/>
    <cellStyle name="Comma 72" xfId="4742" xr:uid="{82D10BF9-46F8-4AA1-8ABF-02993490F8EF}"/>
    <cellStyle name="Comma 72 2" xfId="7777" xr:uid="{6BCEC2E4-F287-49A3-AFB7-84939CE48146}"/>
    <cellStyle name="Comma 72 3" xfId="8092" xr:uid="{5623C03A-B86B-449C-A93E-B97C405F9EBD}"/>
    <cellStyle name="Comma 73" xfId="4743" xr:uid="{3667F21B-7C75-489D-ADD9-B8DC3294FB21}"/>
    <cellStyle name="Comma 73 2" xfId="7778" xr:uid="{116E4776-0545-4B91-AFEA-0E8FC52BFFFB}"/>
    <cellStyle name="Comma 73 3" xfId="8093" xr:uid="{22EE4EF4-1D36-4CEC-9A1E-A40C0AC92A89}"/>
    <cellStyle name="Comma 74" xfId="4744" xr:uid="{4283C4C7-0C64-425B-9726-597C7C40BF5B}"/>
    <cellStyle name="Comma 74 2" xfId="7779" xr:uid="{69571F63-0E0F-46BE-925F-6C4FDF2B7AA6}"/>
    <cellStyle name="Comma 74 3" xfId="8094" xr:uid="{89B3D152-B31C-4CE9-A706-CAFD39530C69}"/>
    <cellStyle name="Comma 75" xfId="4745" xr:uid="{DC83DE45-F9DF-444D-9134-F7FCB8BD2133}"/>
    <cellStyle name="Comma 75 2" xfId="7780" xr:uid="{B5F05528-8A11-4E82-BA0B-3B7847DD69F6}"/>
    <cellStyle name="Comma 75 3" xfId="8095" xr:uid="{DF44C4D4-3137-42D3-9659-371EF0DB801B}"/>
    <cellStyle name="Comma 76" xfId="4746" xr:uid="{75E57684-1B52-41BE-9306-4D99EC49EA68}"/>
    <cellStyle name="Comma 76 2" xfId="7781" xr:uid="{2A6ED2BD-C9DA-4431-A790-7B6F00DBD790}"/>
    <cellStyle name="Comma 76 3" xfId="8096" xr:uid="{14262071-3DC0-4915-BA6A-06D04CFF01CA}"/>
    <cellStyle name="Comma 77" xfId="4747" xr:uid="{E4FCC262-BE54-4A97-A8FC-6589E102D5E5}"/>
    <cellStyle name="Comma 77 2" xfId="7782" xr:uid="{E03DC661-BFBE-4EE1-9225-7C30720A5F8B}"/>
    <cellStyle name="Comma 77 3" xfId="8097" xr:uid="{A0BBC01A-EF4D-4408-95A4-B5C56794519F}"/>
    <cellStyle name="Comma 78" xfId="4748" xr:uid="{FA526B97-7852-4018-BB32-E29D5F1FEA3E}"/>
    <cellStyle name="Comma 78 2" xfId="7783" xr:uid="{B3E9793E-686B-4D25-AAC1-DCE87C75DECD}"/>
    <cellStyle name="Comma 78 3" xfId="8098" xr:uid="{0EBCCE20-D715-48F6-A2ED-AC69CC6D9089}"/>
    <cellStyle name="Comma 79" xfId="4749" xr:uid="{FE6E6927-B6CF-42EF-8AA4-4BEB57B753EB}"/>
    <cellStyle name="Comma 79 2" xfId="7784" xr:uid="{776473AB-BE25-4F62-99EF-84D0A80D52A3}"/>
    <cellStyle name="Comma 79 3" xfId="8099" xr:uid="{CC1E984B-7867-4EC8-BB86-D7A99DDA582D}"/>
    <cellStyle name="Comma 8" xfId="4750" xr:uid="{D66F8F5E-28F9-4BA9-BB6A-E0DBA239C8A1}"/>
    <cellStyle name="Comma 8 2" xfId="4751" xr:uid="{3AC36417-6065-416F-B95C-749C47CB0C33}"/>
    <cellStyle name="Comma 8 2 2" xfId="7786" xr:uid="{E2FD79AF-3BF8-4B6B-8347-551CECEC7874}"/>
    <cellStyle name="Comma 8 2 3" xfId="8101" xr:uid="{381D2D27-4C0D-4BCC-BB04-9617A0C06480}"/>
    <cellStyle name="Comma 8 3" xfId="7785" xr:uid="{E0F7F7A1-3725-4096-B8B3-E2E82FBEDF23}"/>
    <cellStyle name="Comma 8 4" xfId="8100" xr:uid="{70EB6FFE-3715-44B0-866F-27A695A93D6D}"/>
    <cellStyle name="Comma 80" xfId="4752" xr:uid="{D78C7550-496C-4320-8AFB-F60202197CB9}"/>
    <cellStyle name="Comma 80 2" xfId="7787" xr:uid="{67C91E33-29E2-4962-8F92-D5B9B8A001F9}"/>
    <cellStyle name="Comma 80 3" xfId="8102" xr:uid="{BBBE2AC1-79ED-44A2-BB8C-B541DF99136E}"/>
    <cellStyle name="Comma 81" xfId="4753" xr:uid="{AA87951A-15E8-4A9D-AA67-C9AFF96FBA35}"/>
    <cellStyle name="Comma 81 2" xfId="7788" xr:uid="{F6069A5F-7317-4894-BD8C-547E51D4925D}"/>
    <cellStyle name="Comma 81 3" xfId="8103" xr:uid="{9297E41F-D964-4ED2-AC79-90648BB5FFA0}"/>
    <cellStyle name="Comma 82" xfId="4754" xr:uid="{D8B4138D-E8E6-492F-94AB-B306F613393E}"/>
    <cellStyle name="Comma 82 2" xfId="7789" xr:uid="{44D3308C-5B73-4085-ACC3-3959938792CD}"/>
    <cellStyle name="Comma 82 3" xfId="8104" xr:uid="{24D03C1B-675C-4225-B9E4-D77276DE1D07}"/>
    <cellStyle name="Comma 83" xfId="4755" xr:uid="{12FA663D-9313-4583-973D-6E2396FE3B76}"/>
    <cellStyle name="Comma 83 2" xfId="7790" xr:uid="{CF154AE4-D032-4FF1-9997-669B2764FF7A}"/>
    <cellStyle name="Comma 83 3" xfId="8105" xr:uid="{C8C0FB79-1235-4237-8CD1-6330B170866C}"/>
    <cellStyle name="Comma 84" xfId="4756" xr:uid="{6432E947-2680-4EAD-88C9-EC4F717CC5DE}"/>
    <cellStyle name="Comma 84 2" xfId="7791" xr:uid="{3AAA1829-48DC-431F-8752-C89C60610ACD}"/>
    <cellStyle name="Comma 84 3" xfId="8106" xr:uid="{3E87B50F-21B7-4D7F-9EFF-12B751F5F4E0}"/>
    <cellStyle name="Comma 85" xfId="4757" xr:uid="{25EE91CA-F37B-4C04-915D-0CCA4092E1D2}"/>
    <cellStyle name="Comma 85 2" xfId="7792" xr:uid="{A66C913B-6B3E-4675-BAB3-F6BF51A57EBD}"/>
    <cellStyle name="Comma 85 3" xfId="8107" xr:uid="{FDB41AA5-6AAF-49A1-8AE3-7433C91A6D9E}"/>
    <cellStyle name="Comma 86" xfId="4758" xr:uid="{1BE1DF7C-B03A-4AAC-938F-EB0BA601CE39}"/>
    <cellStyle name="Comma 86 2" xfId="7793" xr:uid="{F65660F1-FB19-42E3-BE7F-36F726B9976E}"/>
    <cellStyle name="Comma 86 3" xfId="8108" xr:uid="{B1982032-C767-4C54-B807-5A35830AC71E}"/>
    <cellStyle name="Comma 87" xfId="4759" xr:uid="{81742AEE-80C9-43DD-B71D-8B91F82910F8}"/>
    <cellStyle name="Comma 87 2" xfId="7794" xr:uid="{AE0FD888-2DB4-42D8-91A4-023D96454126}"/>
    <cellStyle name="Comma 87 3" xfId="8109" xr:uid="{C76C09D8-5E62-47C1-A30E-09C318516CB1}"/>
    <cellStyle name="Comma 88" xfId="4760" xr:uid="{7C2FAE31-A892-456F-9DA8-0F77AC06A6FC}"/>
    <cellStyle name="Comma 88 2" xfId="7795" xr:uid="{F1D28438-5005-4EBB-8B0D-8B1E44D0EDEF}"/>
    <cellStyle name="Comma 88 3" xfId="8110" xr:uid="{732DDF02-D022-43BC-B89E-11E9D868B47D}"/>
    <cellStyle name="Comma 89" xfId="4761" xr:uid="{57056037-31D2-406D-806B-47079388E67B}"/>
    <cellStyle name="Comma 89 2" xfId="7796" xr:uid="{324CD431-866D-4FD5-800C-3DCFAEE06E4E}"/>
    <cellStyle name="Comma 89 3" xfId="8111" xr:uid="{246C1F70-E0CD-4C52-AB64-427BBC2DF0E1}"/>
    <cellStyle name="Comma 9" xfId="4762" xr:uid="{C08DC82F-F4C4-46A2-BBFF-5CE914C17B5B}"/>
    <cellStyle name="Comma 9 2" xfId="4763" xr:uid="{D61A6652-F48A-4630-AFFB-F890196557CF}"/>
    <cellStyle name="Comma 9 2 2" xfId="7798" xr:uid="{46E96B98-BFDA-4583-A12D-543050FA08CA}"/>
    <cellStyle name="Comma 9 2 3" xfId="8113" xr:uid="{FFF1A9EA-AB83-4832-9123-0D4883596DE5}"/>
    <cellStyle name="Comma 9 3" xfId="7797" xr:uid="{D8BE5EE4-31FF-4118-9440-CC3562EC60C3}"/>
    <cellStyle name="Comma 9 4" xfId="8112" xr:uid="{2F4EE06D-968B-439D-ABAF-34FFDB34D89F}"/>
    <cellStyle name="Comma 90" xfId="4764" xr:uid="{D58C983E-5D5C-4EF0-B4F1-2BB2CEFDE05C}"/>
    <cellStyle name="Comma 90 2" xfId="7799" xr:uid="{AB1F1027-E73E-4184-9006-72AE9EBCCEEE}"/>
    <cellStyle name="Comma 90 3" xfId="8114" xr:uid="{74C46C95-325D-45A9-BD81-06E7621EA844}"/>
    <cellStyle name="Comma 91" xfId="4765" xr:uid="{AC662262-8CA4-40FB-A12B-5808CC6BD2FD}"/>
    <cellStyle name="Comma 91 2" xfId="7800" xr:uid="{9122307B-CDC1-4F87-B7BE-BD1A591C3E9B}"/>
    <cellStyle name="Comma 91 3" xfId="8115" xr:uid="{6993C6D3-25F8-4AA6-AD1C-A83B31E75EC4}"/>
    <cellStyle name="Comma 92" xfId="4766" xr:uid="{E7035D59-FE64-4935-AF04-299CF9B68A42}"/>
    <cellStyle name="Comma 92 2" xfId="7801" xr:uid="{444B3C04-9E63-4345-A2CB-A4392028A86F}"/>
    <cellStyle name="Comma 92 3" xfId="8116" xr:uid="{204AED25-2D6F-4E81-895E-4EAEB42C58A3}"/>
    <cellStyle name="Comma 93" xfId="4767" xr:uid="{A43CDCC5-40AF-4430-8A9A-D922F87FB052}"/>
    <cellStyle name="Comma 93 2" xfId="7802" xr:uid="{76FA10A7-C204-40DB-AEB6-B3BACF723C75}"/>
    <cellStyle name="Comma 93 3" xfId="8117" xr:uid="{3CF57112-5C20-4274-97CB-0288CD5B2754}"/>
    <cellStyle name="Comma 94" xfId="4768" xr:uid="{2989DBFE-87B9-4DFE-B8FC-D6FA4597384A}"/>
    <cellStyle name="Comma 94 2" xfId="7803" xr:uid="{6951D38E-7CCB-4696-B2F1-A72A3CD240C0}"/>
    <cellStyle name="Comma 94 3" xfId="8118" xr:uid="{3BD72AD2-8BA5-48A7-8CDB-E122629C5B80}"/>
    <cellStyle name="Comma 95" xfId="4769" xr:uid="{E1555C9C-8BA7-4A18-9FA6-C69BF700EE51}"/>
    <cellStyle name="Comma 95 2" xfId="7804" xr:uid="{318D4C55-C864-4ACB-B294-261C1AF1B5D0}"/>
    <cellStyle name="Comma 95 3" xfId="8119" xr:uid="{5CED757F-6567-49B6-92C0-BD7FCFC0B90C}"/>
    <cellStyle name="Comma 96" xfId="4770" xr:uid="{98A25DB3-A0B5-48D8-9A55-F37F5CEA8E1D}"/>
    <cellStyle name="Comma 96 2" xfId="7805" xr:uid="{85933D07-85CB-46DD-8572-0DC89AB875F5}"/>
    <cellStyle name="Comma 96 3" xfId="8120" xr:uid="{19E0683A-25D0-4DC5-A83C-D8E8287E32DF}"/>
    <cellStyle name="Comma 97" xfId="4771" xr:uid="{1EE2D833-0DD1-455D-ABAB-B854C378BADB}"/>
    <cellStyle name="Comma 97 2" xfId="7806" xr:uid="{CFCBF5EC-ABC7-4713-A002-A788FE497103}"/>
    <cellStyle name="Comma 97 3" xfId="8121" xr:uid="{2110B5CD-B91A-4CCB-9AA9-3BBC7AA4F192}"/>
    <cellStyle name="Comma 98" xfId="4772" xr:uid="{E29FC5BB-8CB9-4875-BF24-E90465603838}"/>
    <cellStyle name="Comma 98 2" xfId="7807" xr:uid="{CA423D8F-0B6A-4835-82A3-0CEE4495AE1F}"/>
    <cellStyle name="Comma 98 3" xfId="8122" xr:uid="{BC787C1D-204D-4C91-B1D9-8DAAFF92D832}"/>
    <cellStyle name="Comma 99" xfId="4773" xr:uid="{C5C30CDE-1363-4DC1-885A-6BCCC5316EEB}"/>
    <cellStyle name="Comma 99 2" xfId="7808" xr:uid="{9ED068EA-5FE7-41CE-8CAB-F1E1B43A9364}"/>
    <cellStyle name="Comma 99 3" xfId="8123" xr:uid="{E0F7FB28-5123-43C8-823E-88811A9D5C0A}"/>
    <cellStyle name="control" xfId="1979" xr:uid="{E13CCE7E-65F3-4F55-8611-7920E84B888A}"/>
    <cellStyle name="control 2" xfId="2468" xr:uid="{21110BF8-7694-4A21-BF37-C523686376F9}"/>
    <cellStyle name="Curren - Style3" xfId="1980" xr:uid="{2FA17544-FBB9-4682-B889-FF554D01EBEE}"/>
    <cellStyle name="Curren - Style4" xfId="1981" xr:uid="{0E259F14-A744-4657-B99C-0A453361CF94}"/>
    <cellStyle name="Currency" xfId="4" builtinId="4"/>
    <cellStyle name="Currency (0.00)" xfId="1983" xr:uid="{BDB35DCD-DF32-4373-A4BE-A77BC47728EE}"/>
    <cellStyle name="Currency (0.00) 2" xfId="7539" xr:uid="{8C2D7092-39E5-42BC-90C0-A099A202607F}"/>
    <cellStyle name="Currency (0.00) 3" xfId="7854" xr:uid="{1B7358E5-409B-40B4-9C37-BFF89D90E5AD}"/>
    <cellStyle name="Currency (0.00)_Exist Trunk Assets - Ferry" xfId="8605" xr:uid="{2D7DBA8D-E317-44ED-ACA1-A599CC9A36C0}"/>
    <cellStyle name="Currency [00]" xfId="1984" xr:uid="{F59C18D0-5F56-49C3-892F-55F9EEFD6C4B}"/>
    <cellStyle name="Currency [00] 10" xfId="1985" xr:uid="{4F16253C-3ACA-4FA7-B5FA-7E9F2F61CEB2}"/>
    <cellStyle name="Currency [00] 11" xfId="1986" xr:uid="{F5C441CD-A5AC-459E-AE32-1A4528E3556C}"/>
    <cellStyle name="Currency [00] 2" xfId="1987" xr:uid="{F67188D6-901C-4742-9CBA-C2B5ABEB537C}"/>
    <cellStyle name="Currency [00] 2 2" xfId="2469" xr:uid="{81EA70DB-A7C9-4FDA-A505-EE2E3094920D}"/>
    <cellStyle name="Currency [00] 3" xfId="1988" xr:uid="{7509E27C-C3A9-46F4-9520-ED7F243B4685}"/>
    <cellStyle name="Currency [00] 3 2" xfId="2470" xr:uid="{670F9DDD-5FF0-47AA-92CE-158F0CE8709F}"/>
    <cellStyle name="Currency [00] 4" xfId="1989" xr:uid="{FF2DC02B-9192-4640-8F55-E89F569E1897}"/>
    <cellStyle name="Currency [00] 4 2" xfId="2471" xr:uid="{E2569D21-43DC-423E-8A92-61D19CA77CEF}"/>
    <cellStyle name="Currency [00] 5" xfId="1990" xr:uid="{CAEBA614-69B4-417D-9F0C-E6A491784C99}"/>
    <cellStyle name="Currency [00] 5 2" xfId="2472" xr:uid="{52394D54-6B29-4779-90E5-D97A7DB640A5}"/>
    <cellStyle name="Currency [00] 6" xfId="1991" xr:uid="{6D4EFB9E-1567-4388-A9F6-9E3D8D254CC9}"/>
    <cellStyle name="Currency [00] 7" xfId="1992" xr:uid="{76F9397E-0D16-4591-93E5-5E85AC0DA502}"/>
    <cellStyle name="Currency [00] 8" xfId="1993" xr:uid="{834801B0-89BA-4C07-97A7-ED0C580F67CA}"/>
    <cellStyle name="Currency [00] 9" xfId="1994" xr:uid="{53285A8F-DAA9-445D-9974-8A50C782C9D2}"/>
    <cellStyle name="Currency 10" xfId="2332" xr:uid="{4D9FD0DD-736A-4073-8C3B-E4E6999C06B3}"/>
    <cellStyle name="Currency 10 2" xfId="7563" xr:uid="{A69DCFAA-C4EA-4CF8-BE75-D539AFD95306}"/>
    <cellStyle name="Currency 10 3" xfId="7878" xr:uid="{B3F421E1-B8B2-489C-9830-69F186B3FBCF}"/>
    <cellStyle name="Currency 11" xfId="2326" xr:uid="{17B7A6D5-F6D8-4652-A674-FD3D4DF9EA57}"/>
    <cellStyle name="Currency 11 2" xfId="7557" xr:uid="{B30AAEC9-31E9-4E6A-8CBD-AA052E4A5588}"/>
    <cellStyle name="Currency 11 3" xfId="7872" xr:uid="{48F7CCC8-7271-4066-B420-16AB5AD1EFA6}"/>
    <cellStyle name="Currency 12" xfId="2330" xr:uid="{77CA3696-60E1-4561-B8B6-BB0E2A58A44B}"/>
    <cellStyle name="Currency 12 2" xfId="7561" xr:uid="{85C09F02-A2E3-40BA-91A6-F5E9F53B3F3D}"/>
    <cellStyle name="Currency 12 3" xfId="7876" xr:uid="{F882470F-1162-48D3-88B3-82AFBA6A7312}"/>
    <cellStyle name="Currency 13" xfId="2325" xr:uid="{2A6585D1-B8BE-406A-BD08-F34CA26B404E}"/>
    <cellStyle name="Currency 13 2" xfId="7556" xr:uid="{74E4095C-694A-4092-A117-070DE7D77443}"/>
    <cellStyle name="Currency 13 3" xfId="7871" xr:uid="{ACFB81E0-4B58-41FD-BA75-2FE7C9546C3F}"/>
    <cellStyle name="Currency 14" xfId="2331" xr:uid="{1CD04F14-4D6A-40A3-8ED7-BF134517694A}"/>
    <cellStyle name="Currency 14 2" xfId="7562" xr:uid="{73CDCB7B-EED5-412C-AACF-7A2BD4931FC5}"/>
    <cellStyle name="Currency 14 3" xfId="7877" xr:uid="{E4AADC6B-F449-42D3-A361-8A5FD0DEB194}"/>
    <cellStyle name="Currency 15" xfId="2324" xr:uid="{1898247C-5DBA-4E7B-A607-A7A81DCB6383}"/>
    <cellStyle name="Currency 15 2" xfId="7555" xr:uid="{9037EE89-E45F-4296-9F99-2B9AEFCEC9F3}"/>
    <cellStyle name="Currency 15 3" xfId="7870" xr:uid="{10D3B1CA-D508-4392-A53B-00A8D6A67CEF}"/>
    <cellStyle name="Currency 16" xfId="2333" xr:uid="{2FE57420-2B5B-445C-89B8-1232E28A8932}"/>
    <cellStyle name="Currency 16 2" xfId="7564" xr:uid="{592DA67A-2ABB-42E0-B3EC-6CA441DBA9CD}"/>
    <cellStyle name="Currency 16 3" xfId="7879" xr:uid="{A0EE58D5-8398-4CBE-A01F-67FE2F22E356}"/>
    <cellStyle name="Currency 17" xfId="2323" xr:uid="{64AF7450-81D3-4ADB-9369-3063FC78D098}"/>
    <cellStyle name="Currency 17 2" xfId="7554" xr:uid="{3E243B30-ED50-4147-A1B4-D41C861BA775}"/>
    <cellStyle name="Currency 17 3" xfId="7869" xr:uid="{EAB3881D-8B15-441B-9CFF-82D140D1CEFD}"/>
    <cellStyle name="Currency 18" xfId="2334" xr:uid="{212B0F15-EBD8-4CE2-8FF9-9D03F294616A}"/>
    <cellStyle name="Currency 18 2" xfId="7565" xr:uid="{0B696B12-93C8-48A3-997D-421957940BB7}"/>
    <cellStyle name="Currency 18 3" xfId="7880" xr:uid="{436640C6-2A91-45EE-A6A8-CAF92B5E2B1D}"/>
    <cellStyle name="Currency 19" xfId="2322" xr:uid="{244C1C99-ED00-483B-B0B0-CEC960A8E521}"/>
    <cellStyle name="Currency 19 2" xfId="7553" xr:uid="{8496BC86-497D-4EEB-932B-99886BC28D89}"/>
    <cellStyle name="Currency 19 3" xfId="7868" xr:uid="{FA60631E-3034-4599-9BBF-DBAC39213B17}"/>
    <cellStyle name="Currency 2" xfId="1115" xr:uid="{CE02B5CB-FE5A-4429-B85A-3FCA4E9469B1}"/>
    <cellStyle name="Currency 2 2" xfId="2473" xr:uid="{0E2ABC45-1467-462B-A99F-5D5DFEAE4F0B}"/>
    <cellStyle name="Currency 2 2 2" xfId="7577" xr:uid="{05813ADA-4297-41DF-963E-9A7F44C22B53}"/>
    <cellStyle name="Currency 2 2 3" xfId="7892" xr:uid="{457DF008-4683-4738-8593-7F035C52B6B6}"/>
    <cellStyle name="Currency 2 3" xfId="7533" xr:uid="{BD65FA64-BE41-40EF-96E3-DEEADCC28660}"/>
    <cellStyle name="Currency 2 4" xfId="7848" xr:uid="{42DB53B0-3351-487A-981F-64C4152CD893}"/>
    <cellStyle name="Currency 20" xfId="2335" xr:uid="{79AEEB12-E410-4178-B503-D58656F1AE4A}"/>
    <cellStyle name="Currency 20 2" xfId="7566" xr:uid="{354685C6-369A-4612-9E78-869970CC708E}"/>
    <cellStyle name="Currency 20 3" xfId="7881" xr:uid="{61A71FAA-F36E-45E2-A624-5BC44AADF8B4}"/>
    <cellStyle name="Currency 21" xfId="2321" xr:uid="{CDB9319D-96C9-4707-92A0-761CB41B7CFF}"/>
    <cellStyle name="Currency 21 2" xfId="7552" xr:uid="{9230AAE7-0C56-4C2B-BD93-E2DB93D18C8A}"/>
    <cellStyle name="Currency 21 3" xfId="7867" xr:uid="{A7404B1C-59CA-4F64-A075-6A321699A8BB}"/>
    <cellStyle name="Currency 22" xfId="2336" xr:uid="{D132DCF5-696D-4C8B-A18C-AEA2C25CFBF2}"/>
    <cellStyle name="Currency 22 2" xfId="7567" xr:uid="{47B62C1A-6A93-4A1A-9F4F-0C51975D97AF}"/>
    <cellStyle name="Currency 22 3" xfId="7882" xr:uid="{68D26E89-8E9C-469C-8126-52055E9AA16A}"/>
    <cellStyle name="Currency 23" xfId="2320" xr:uid="{43765751-DB25-454D-9044-57014C24D7E8}"/>
    <cellStyle name="Currency 23 2" xfId="7551" xr:uid="{0AA2615E-0CE6-45CC-8E0B-D71A2F5876B7}"/>
    <cellStyle name="Currency 23 3" xfId="7866" xr:uid="{7A2D73EF-AEF0-4473-979F-DC997043DD65}"/>
    <cellStyle name="Currency 24" xfId="2337" xr:uid="{AE83FF29-4A47-45AE-A15A-D3BA6D52A678}"/>
    <cellStyle name="Currency 24 2" xfId="7568" xr:uid="{4734EA84-700C-4EB5-9123-F99063AEDCB8}"/>
    <cellStyle name="Currency 24 3" xfId="7883" xr:uid="{9293D615-1412-4A7F-8869-5458E3165319}"/>
    <cellStyle name="Currency 25" xfId="2319" xr:uid="{32724E6D-1139-46CA-8F6C-318FEAFD0657}"/>
    <cellStyle name="Currency 25 2" xfId="7550" xr:uid="{865D6652-EE73-4BBB-A139-67014A61AD0F}"/>
    <cellStyle name="Currency 25 3" xfId="7865" xr:uid="{00C17105-4AA7-47D8-BE72-CF47E6ACE7AA}"/>
    <cellStyle name="Currency 26" xfId="2338" xr:uid="{150D518A-D57B-4392-A463-4167C11D1B80}"/>
    <cellStyle name="Currency 26 2" xfId="7569" xr:uid="{2669A076-3878-45C6-91CA-4B572E2CF674}"/>
    <cellStyle name="Currency 26 3" xfId="7884" xr:uid="{5157A776-EECF-44E1-90D9-8B2A65366FAA}"/>
    <cellStyle name="Currency 27" xfId="2318" xr:uid="{9C4F1655-416B-4ECB-AD4B-6B263304003E}"/>
    <cellStyle name="Currency 27 2" xfId="7549" xr:uid="{DB57CF70-1090-4C78-8B76-E8701784A60E}"/>
    <cellStyle name="Currency 27 3" xfId="7864" xr:uid="{9AD7599A-6305-44F4-BF37-13CFD79AA384}"/>
    <cellStyle name="Currency 28" xfId="2339" xr:uid="{A6D5965A-B258-4195-B5BC-1ACA185CD71F}"/>
    <cellStyle name="Currency 28 2" xfId="7570" xr:uid="{C1033693-F2C6-491C-B541-5903762A0009}"/>
    <cellStyle name="Currency 28 3" xfId="7885" xr:uid="{D95B9BC4-0B64-4963-9005-EC3375390B7E}"/>
    <cellStyle name="Currency 29" xfId="2317" xr:uid="{F69C3024-01C2-4947-A8A6-061AF0BC1C7F}"/>
    <cellStyle name="Currency 29 2" xfId="7548" xr:uid="{CFB03F12-1A95-4CCB-995C-3418309E24B8}"/>
    <cellStyle name="Currency 29 3" xfId="7863" xr:uid="{87D72AAB-5444-4422-970C-2743DB5D2FAD}"/>
    <cellStyle name="Currency 3" xfId="1995" xr:uid="{78F90DF7-BBFE-4951-92CB-EB6B5BA9E0E4}"/>
    <cellStyle name="Currency 3 2" xfId="2474" xr:uid="{9A9678F3-A4DB-4242-89D4-8F25C3717DFE}"/>
    <cellStyle name="Currency 3 2 2" xfId="7578" xr:uid="{7366CB5C-9B98-437C-B717-F7C6DD798B78}"/>
    <cellStyle name="Currency 3 2 3" xfId="7893" xr:uid="{900CD7C8-3977-404C-94F7-D8B32605784D}"/>
    <cellStyle name="Currency 3 3" xfId="7540" xr:uid="{1F273E9A-9A29-47B1-99A3-F31CA2FA92C3}"/>
    <cellStyle name="Currency 3 4" xfId="7855" xr:uid="{190DBFB6-D2E1-4180-B0A6-038563484DB3}"/>
    <cellStyle name="Currency 30" xfId="2329" xr:uid="{CAAFFA0A-B7A9-459D-9454-C1ADE93FB8C1}"/>
    <cellStyle name="Currency 30 2" xfId="7560" xr:uid="{D991C3DF-9EAE-4C91-BAAA-964235140717}"/>
    <cellStyle name="Currency 30 3" xfId="7875" xr:uid="{23080630-4682-4F1A-B7BC-29E8E0690F2A}"/>
    <cellStyle name="Currency 31" xfId="7497" xr:uid="{A0E2AF2D-5BD0-4367-AB8F-82FFE34A7921}"/>
    <cellStyle name="Currency 32" xfId="7812" xr:uid="{AFA81BB7-A36C-4F0D-917F-2F7B3D4316BD}"/>
    <cellStyle name="Currency 33" xfId="8140" xr:uid="{577825AD-3C39-4866-9554-87761673A49C}"/>
    <cellStyle name="Currency 34" xfId="8141" xr:uid="{8101561C-7AF0-4D73-A8AC-0AED8B9974CB}"/>
    <cellStyle name="Currency 35" xfId="8142" xr:uid="{F6566278-325E-4963-9C0C-AF2D323B9050}"/>
    <cellStyle name="Currency 4" xfId="1996" xr:uid="{1A21EDD0-4B44-4E3D-BA78-B62273E86CB8}"/>
    <cellStyle name="Currency 4 2" xfId="2401" xr:uid="{7130BDFD-7034-49DB-B71D-DF47B0F46404}"/>
    <cellStyle name="Currency 4 2 2" xfId="2475" xr:uid="{080FCE60-DCE9-4D07-B806-3DFCDCE22F4F}"/>
    <cellStyle name="Currency 4 2 2 2" xfId="7579" xr:uid="{B4799615-8316-475A-8A56-A3A7BCA51D30}"/>
    <cellStyle name="Currency 4 2 2 3" xfId="7894" xr:uid="{633CE53F-D0D2-4822-AB29-32B4DA13CD95}"/>
    <cellStyle name="Currency 4 2 3" xfId="7572" xr:uid="{CEB56E7E-5118-4464-8838-7711FB169755}"/>
    <cellStyle name="Currency 4 2 4" xfId="7887" xr:uid="{056A2A85-6D52-4BFC-893B-C345D87E7E93}"/>
    <cellStyle name="Currency 4 3" xfId="7541" xr:uid="{A4F30F6A-B2E1-41AF-820A-3A6C5C97B734}"/>
    <cellStyle name="Currency 4 4" xfId="7856" xr:uid="{266C8BE9-BEC1-4A89-8333-C48E064BF35A}"/>
    <cellStyle name="Currency 5" xfId="1997" xr:uid="{97921C52-DF69-4BC3-A265-238784699203}"/>
    <cellStyle name="Currency 5 2" xfId="2476" xr:uid="{B826313E-3B0E-4B18-901D-D839F12681D2}"/>
    <cellStyle name="Currency 5 2 2" xfId="7580" xr:uid="{8C2C4B80-0220-4492-959B-5972E8E6026C}"/>
    <cellStyle name="Currency 5 2 3" xfId="7895" xr:uid="{D0E9DFDE-2F8F-4DB8-AE62-ADCBC91BC39F}"/>
    <cellStyle name="Currency 5 3" xfId="7542" xr:uid="{B9C0990E-E20D-4130-83CF-C143AF2517F7}"/>
    <cellStyle name="Currency 5 4" xfId="7857" xr:uid="{C57D1DB2-A7F6-4CCB-A159-BE8D0891C3E3}"/>
    <cellStyle name="Currency 6" xfId="1982" xr:uid="{4484F5B0-1361-4769-A68B-30CF80A0AA8B}"/>
    <cellStyle name="Currency 6 2" xfId="7538" xr:uid="{EFCD726B-763C-4A3B-94CA-A41AB7197177}"/>
    <cellStyle name="Currency 6 3" xfId="7853" xr:uid="{8ED96CD0-22E9-493B-9504-E86677095523}"/>
    <cellStyle name="Currency 7" xfId="2328" xr:uid="{3401036D-D088-4B0C-9C14-00BB95FE9C8B}"/>
    <cellStyle name="Currency 7 2" xfId="7559" xr:uid="{008AA55D-0894-4C98-B00D-DC51675370F0}"/>
    <cellStyle name="Currency 7 3" xfId="7874" xr:uid="{B7833668-18AD-4549-B212-C23638FB73E2}"/>
    <cellStyle name="Currency 8" xfId="2340" xr:uid="{4B5E6FF0-A95D-4B41-B50A-1003677D84E0}"/>
    <cellStyle name="Currency 8 2" xfId="7571" xr:uid="{047542EA-2BF6-4BE3-B033-4EA6C5F6E827}"/>
    <cellStyle name="Currency 8 3" xfId="7886" xr:uid="{C3D320C1-13F6-42FB-ACE6-FFA5A90C24B2}"/>
    <cellStyle name="Currency 9" xfId="2327" xr:uid="{A91B5ED4-DD4A-4A11-B0BD-ADF910423A03}"/>
    <cellStyle name="Currency 9 2" xfId="7558" xr:uid="{6FD46E65-174E-4719-9C70-98D4F9FB7B1C}"/>
    <cellStyle name="Currency 9 3" xfId="7873" xr:uid="{033B05DC-050D-4892-8106-E7A3A15A31D8}"/>
    <cellStyle name="Currency0" xfId="1998" xr:uid="{68BE6809-480F-45DE-932C-5976BA19F3C4}"/>
    <cellStyle name="Currency0 2" xfId="2477" xr:uid="{8C99A670-6AF6-47AB-8467-F4D558D1378E}"/>
    <cellStyle name="Date Short" xfId="1999" xr:uid="{DA97DCBD-1B86-4C0C-91A0-7A4D9F13D598}"/>
    <cellStyle name="Dezimal [0]_PERSON2" xfId="2000" xr:uid="{2FF5F282-5EA3-4571-B4A4-5C1BF91F1EC8}"/>
    <cellStyle name="Dezimal_PERSON2" xfId="2001" xr:uid="{CF3FBDBC-4BCB-4C34-A69D-00A25CAC2310}"/>
    <cellStyle name="Discount" xfId="2002" xr:uid="{59213284-1210-48AB-9F26-48704530373A}"/>
    <cellStyle name="Discount 2" xfId="2478" xr:uid="{92DD7148-40E0-4FAE-A418-7725ED78DE3B}"/>
    <cellStyle name="eárky [0]_laroux" xfId="2003" xr:uid="{B4D97D30-C746-4550-939E-78FB7FB9F58C}"/>
    <cellStyle name="eárky_laroux" xfId="2004" xr:uid="{6CC4DBA0-BD2A-4971-B6BD-F6EED5F4ED49}"/>
    <cellStyle name="Empty" xfId="2005" xr:uid="{B8E84EFE-9BF8-4E4E-8B4E-BB9FCCF86A1A}"/>
    <cellStyle name="Enter Currency (0)" xfId="2006" xr:uid="{B853526A-CE15-419E-82D8-E939B6B0BD1C}"/>
    <cellStyle name="Enter Currency (0) 10" xfId="2007" xr:uid="{B8BD7F83-67FB-4CA6-8F58-D77FCE0F891F}"/>
    <cellStyle name="Enter Currency (0) 11" xfId="2008" xr:uid="{B7E1D841-D787-4398-BA87-636AC5678423}"/>
    <cellStyle name="Enter Currency (0) 2" xfId="2009" xr:uid="{C2AA73C0-4551-4B37-BB16-0F73C849A659}"/>
    <cellStyle name="Enter Currency (0) 2 2" xfId="2479" xr:uid="{C835DE44-048A-441B-B2C0-9E1A06A43EFB}"/>
    <cellStyle name="Enter Currency (0) 3" xfId="2010" xr:uid="{7CB06BB7-7228-4275-8A7A-DB804697C62B}"/>
    <cellStyle name="Enter Currency (0) 3 2" xfId="2480" xr:uid="{EE6AFFCC-55C3-427F-A70F-81EBC5469581}"/>
    <cellStyle name="Enter Currency (0) 4" xfId="2011" xr:uid="{B834B5AD-CB63-439A-8277-C9B041E37B17}"/>
    <cellStyle name="Enter Currency (0) 4 2" xfId="2481" xr:uid="{C684A87C-624A-4148-AB09-07A10D66598A}"/>
    <cellStyle name="Enter Currency (0) 5" xfId="2012" xr:uid="{9827680A-6352-43CD-9161-3573D1F836D6}"/>
    <cellStyle name="Enter Currency (0) 5 2" xfId="2482" xr:uid="{52EC432C-B8B5-4FBB-B405-FA2D4C0851BC}"/>
    <cellStyle name="Enter Currency (0) 6" xfId="2013" xr:uid="{FF1E4AEC-2D8F-4B26-9A7D-207E3482E9B4}"/>
    <cellStyle name="Enter Currency (0) 7" xfId="2014" xr:uid="{E8F44FCF-2B2A-468B-9688-1B7E9BBFAC28}"/>
    <cellStyle name="Enter Currency (0) 8" xfId="2015" xr:uid="{ACFF41AE-6294-4DDD-9816-F53149745E19}"/>
    <cellStyle name="Enter Currency (0) 9" xfId="2016" xr:uid="{8DDBFB4F-0D0F-42E6-BD7C-D317F8FDB8D0}"/>
    <cellStyle name="Enter Currency (2)" xfId="2017" xr:uid="{9D528D68-B2F8-45FC-9403-C917CE4354AE}"/>
    <cellStyle name="Enter Currency (2) 10" xfId="2018" xr:uid="{A104ADCE-41AC-43C3-8FEE-BAC61FF19EA7}"/>
    <cellStyle name="Enter Currency (2) 11" xfId="2019" xr:uid="{20C0ABE1-6D70-4A5E-BC2D-F97DF9A3E8EC}"/>
    <cellStyle name="Enter Currency (2) 2" xfId="2020" xr:uid="{2D60517E-F394-4FD4-8AA5-7975E860917B}"/>
    <cellStyle name="Enter Currency (2) 2 2" xfId="2483" xr:uid="{3407D87F-5579-451C-BF3C-D0DCF200D139}"/>
    <cellStyle name="Enter Currency (2) 3" xfId="2021" xr:uid="{388836A6-E613-44E3-9BCA-E837629737C7}"/>
    <cellStyle name="Enter Currency (2) 3 2" xfId="2484" xr:uid="{ADC1721C-9936-4153-AAD8-D10FE50F08F5}"/>
    <cellStyle name="Enter Currency (2) 4" xfId="2022" xr:uid="{53E265DB-166E-4CF0-87D1-57F9AE05533C}"/>
    <cellStyle name="Enter Currency (2) 4 2" xfId="2485" xr:uid="{94E46D7B-8242-455E-B6FC-C6D15C59D18D}"/>
    <cellStyle name="Enter Currency (2) 5" xfId="2023" xr:uid="{501F8111-B2D7-457B-87C8-C41DCB886342}"/>
    <cellStyle name="Enter Currency (2) 5 2" xfId="2486" xr:uid="{BB49DDF7-7208-422C-9B70-59B0C40B5665}"/>
    <cellStyle name="Enter Currency (2) 6" xfId="2024" xr:uid="{B255454D-C448-4765-9C89-FF510F6BF650}"/>
    <cellStyle name="Enter Currency (2) 7" xfId="2025" xr:uid="{9DC30C17-6C2E-4552-8400-2B96EF70961B}"/>
    <cellStyle name="Enter Currency (2) 8" xfId="2026" xr:uid="{10F267A6-BB16-46A6-87A0-B76D73F3A5FC}"/>
    <cellStyle name="Enter Currency (2) 9" xfId="2027" xr:uid="{1F125561-9C5B-45B2-AEA4-221FE0F0BF15}"/>
    <cellStyle name="Enter Units (0)" xfId="2028" xr:uid="{BB8204BC-422A-4F91-A158-1D896EF9E4B0}"/>
    <cellStyle name="Enter Units (0) 10" xfId="2029" xr:uid="{A0AA2DA0-F8DE-4FF1-8192-FE9AF350037F}"/>
    <cellStyle name="Enter Units (0) 11" xfId="2030" xr:uid="{46CE4043-44A8-4A30-8A4A-7B1594B26D30}"/>
    <cellStyle name="Enter Units (0) 2" xfId="2031" xr:uid="{EC1F29C9-0F19-4A8E-A8E7-6B938EE3B635}"/>
    <cellStyle name="Enter Units (0) 2 2" xfId="2487" xr:uid="{93DC9500-AC7E-44EF-8E92-930E07B9A9D6}"/>
    <cellStyle name="Enter Units (0) 3" xfId="2032" xr:uid="{5B842783-A1DD-49E1-88A8-2152596BD6FF}"/>
    <cellStyle name="Enter Units (0) 3 2" xfId="2488" xr:uid="{0A04C24D-1E13-4E56-868F-F190442BD3F2}"/>
    <cellStyle name="Enter Units (0) 4" xfId="2033" xr:uid="{FE628FE8-7AAA-4D4C-86C2-9A2228D3A299}"/>
    <cellStyle name="Enter Units (0) 4 2" xfId="2489" xr:uid="{5429F8ED-6621-4E9E-B8CD-EE44BE475735}"/>
    <cellStyle name="Enter Units (0) 5" xfId="2034" xr:uid="{E285A683-5508-49AB-9CBB-F3C65EA391A8}"/>
    <cellStyle name="Enter Units (0) 5 2" xfId="2490" xr:uid="{1554EC5B-AD50-482C-B97F-396771AC322B}"/>
    <cellStyle name="Enter Units (0) 6" xfId="2035" xr:uid="{286E03E1-EF1D-41CB-97B7-5318AC0EEF15}"/>
    <cellStyle name="Enter Units (0) 7" xfId="2036" xr:uid="{7A15D99C-828E-426D-92F3-7F1F982E226E}"/>
    <cellStyle name="Enter Units (0) 8" xfId="2037" xr:uid="{3F3CE0D7-1E5C-4589-95ED-564F56B88ACA}"/>
    <cellStyle name="Enter Units (0) 9" xfId="2038" xr:uid="{B72CB71C-AA4A-4574-92E3-AE352B223FDF}"/>
    <cellStyle name="Enter Units (1)" xfId="2039" xr:uid="{D60B14BD-E0BE-472A-A51D-1FAF3568E158}"/>
    <cellStyle name="Enter Units (1) 10" xfId="2040" xr:uid="{DA822425-D2BF-4622-B851-274AC589A606}"/>
    <cellStyle name="Enter Units (1) 11" xfId="2041" xr:uid="{1CEC3B06-BB20-461C-81FE-566F86666086}"/>
    <cellStyle name="Enter Units (1) 2" xfId="2042" xr:uid="{43CD2373-D6BE-41B2-B9B7-A0DEDDF9699B}"/>
    <cellStyle name="Enter Units (1) 3" xfId="2043" xr:uid="{64B3EB72-5C35-4E7A-8BDC-61F1CDA1E22B}"/>
    <cellStyle name="Enter Units (1) 4" xfId="2044" xr:uid="{39B69A70-51F3-427E-AA71-166139373FFC}"/>
    <cellStyle name="Enter Units (1) 5" xfId="2045" xr:uid="{121CC799-D01E-4319-A915-B9AF047CD52E}"/>
    <cellStyle name="Enter Units (1) 6" xfId="2046" xr:uid="{CC32BCB1-93DE-4B84-AAAA-1C383B904BCE}"/>
    <cellStyle name="Enter Units (1) 7" xfId="2047" xr:uid="{0E80CCBD-1760-4DB4-A576-EE3A6829AE1D}"/>
    <cellStyle name="Enter Units (1) 8" xfId="2048" xr:uid="{AB5E80DF-3FE3-420E-A1B7-6EA3EC46A703}"/>
    <cellStyle name="Enter Units (1) 9" xfId="2049" xr:uid="{3E9A4627-5BEF-4216-BB7F-599A9EBB7D59}"/>
    <cellStyle name="Enter Units (2)" xfId="2050" xr:uid="{005875B5-EDD9-492A-8F73-1617AADB401A}"/>
    <cellStyle name="Enter Units (2) 10" xfId="2051" xr:uid="{0EFDDA9F-66A9-4B4E-83C3-A5B80AE0A830}"/>
    <cellStyle name="Enter Units (2) 11" xfId="2052" xr:uid="{D5FF7C39-14F4-4275-B66B-7578A73DB8A4}"/>
    <cellStyle name="Enter Units (2) 2" xfId="2053" xr:uid="{EDFD0507-B758-49F9-8261-7F0D4D0034FD}"/>
    <cellStyle name="Enter Units (2) 2 2" xfId="2491" xr:uid="{29838286-C201-4ABD-BD32-15F321638E1B}"/>
    <cellStyle name="Enter Units (2) 3" xfId="2054" xr:uid="{C5A27BF7-0C5C-4912-9252-71CAE578188D}"/>
    <cellStyle name="Enter Units (2) 3 2" xfId="2492" xr:uid="{B018A0E1-D837-46E1-85FA-391502FBAD77}"/>
    <cellStyle name="Enter Units (2) 4" xfId="2055" xr:uid="{3E003D84-37CB-4F67-A060-0937E70066AF}"/>
    <cellStyle name="Enter Units (2) 4 2" xfId="2493" xr:uid="{24C02AFC-737E-4454-8583-82A081F0C95A}"/>
    <cellStyle name="Enter Units (2) 5" xfId="2056" xr:uid="{32F076BC-18EC-46AB-8CBC-0150D898F455}"/>
    <cellStyle name="Enter Units (2) 5 2" xfId="2494" xr:uid="{8025BAC4-0C44-46DB-8D8B-AA22C2682A29}"/>
    <cellStyle name="Enter Units (2) 6" xfId="2057" xr:uid="{62A1B056-2D81-49CD-A6CB-7EF5185DCFF8}"/>
    <cellStyle name="Enter Units (2) 7" xfId="2058" xr:uid="{5F407B8C-7A33-451C-9923-2479A40A6053}"/>
    <cellStyle name="Enter Units (2) 8" xfId="2059" xr:uid="{5ED467EE-7B94-4D26-8CB7-3EB0E0A97253}"/>
    <cellStyle name="Enter Units (2) 9" xfId="2060" xr:uid="{FC7CB384-24AF-494B-966D-2D8A994D7506}"/>
    <cellStyle name="Explanatory Text 10" xfId="1116" xr:uid="{49C4C85A-7FB5-44E8-9FEA-35A3F10CA083}"/>
    <cellStyle name="Explanatory Text 11" xfId="1117" xr:uid="{E63B8DC9-6F22-4FDC-9B40-B29E19B98E94}"/>
    <cellStyle name="Explanatory Text 12" xfId="1118" xr:uid="{ECD0586E-F8A6-4F66-92CE-C66EC5CDDCC5}"/>
    <cellStyle name="Explanatory Text 13" xfId="1119" xr:uid="{73ECC26C-08C6-4B94-867E-3C32C1B3FE53}"/>
    <cellStyle name="Explanatory Text 14" xfId="1120" xr:uid="{300446E8-9D10-4B37-BE98-B44D1B18EAEF}"/>
    <cellStyle name="Explanatory Text 15" xfId="1121" xr:uid="{799B9B36-7BAA-403F-A19F-C65144FDE95E}"/>
    <cellStyle name="Explanatory Text 16" xfId="1122" xr:uid="{F07D8C09-6BFA-4F54-A370-9FBD998A458B}"/>
    <cellStyle name="Explanatory Text 17" xfId="1123" xr:uid="{0E7D1B39-932D-4C68-9359-AD5EFA4E1D2E}"/>
    <cellStyle name="Explanatory Text 18" xfId="1124" xr:uid="{D19310E0-E87E-4A0C-805F-C9B500A133B9}"/>
    <cellStyle name="Explanatory Text 19" xfId="1125" xr:uid="{497F65DA-F6FC-4D2F-A3A0-6295D85E969A}"/>
    <cellStyle name="Explanatory Text 2" xfId="1126" xr:uid="{DD861C02-53D6-440A-84E7-4A830A709399}"/>
    <cellStyle name="Explanatory Text 20" xfId="1127" xr:uid="{9FD1F156-F3F0-4BE9-BCAA-D7AD76D7AD30}"/>
    <cellStyle name="Explanatory Text 21" xfId="1128" xr:uid="{0A9AB70E-5DDC-4E8D-B57C-B42AD4C7A5CD}"/>
    <cellStyle name="Explanatory Text 22" xfId="1129" xr:uid="{78B6F4F8-88AF-489F-B237-26FE7DB6B661}"/>
    <cellStyle name="Explanatory Text 23" xfId="1130" xr:uid="{B56DA4CF-3583-4CED-8046-72637C18DC65}"/>
    <cellStyle name="Explanatory Text 24" xfId="1131" xr:uid="{51F35B3A-4E98-4EFB-A9AE-E4D4C9EE25B2}"/>
    <cellStyle name="Explanatory Text 25" xfId="1132" xr:uid="{0D503A48-01D9-401E-8F30-62EF78FB9F13}"/>
    <cellStyle name="Explanatory Text 26" xfId="1133" xr:uid="{167B3CAA-4CA7-454F-831C-15A8790B4476}"/>
    <cellStyle name="Explanatory Text 27" xfId="1134" xr:uid="{5D186481-96F5-405C-9B18-975CD8666E00}"/>
    <cellStyle name="Explanatory Text 28" xfId="1135" xr:uid="{1A8B8FDC-14DF-41A1-8853-B9BEC1ED6D0B}"/>
    <cellStyle name="Explanatory Text 29" xfId="1136" xr:uid="{BCFA90A4-5776-47E9-9ED7-AB0C3D61DAAA}"/>
    <cellStyle name="Explanatory Text 3" xfId="1137" xr:uid="{C923BD0C-365F-4F31-A55B-5BD8AA9A8420}"/>
    <cellStyle name="Explanatory Text 30" xfId="1138" xr:uid="{1F1838EF-63F6-4B28-BA8A-1362AC0CC63E}"/>
    <cellStyle name="Explanatory Text 31" xfId="1139" xr:uid="{04EC4E38-024C-4908-B3DC-F7FB5E0AB1FD}"/>
    <cellStyle name="Explanatory Text 32" xfId="1140" xr:uid="{0E98F4F6-0302-440E-9598-940F2B72689C}"/>
    <cellStyle name="Explanatory Text 33" xfId="1141" xr:uid="{F1BE9BAB-48D2-4728-9DCC-AEE921971521}"/>
    <cellStyle name="Explanatory Text 34" xfId="1142" xr:uid="{C8ADF599-6336-4100-A573-5CE7434379E4}"/>
    <cellStyle name="Explanatory Text 35" xfId="1143" xr:uid="{BCDFD63A-DD0B-487B-8869-120298FF127B}"/>
    <cellStyle name="Explanatory Text 36" xfId="1144" xr:uid="{0A8BF6A4-BF68-4A59-B238-79BA7D9F40FD}"/>
    <cellStyle name="Explanatory Text 37" xfId="1145" xr:uid="{9530B663-3A71-4D5B-B242-A970CF9126EF}"/>
    <cellStyle name="Explanatory Text 4" xfId="1146" xr:uid="{51EE2490-E2DD-4EC7-8707-48EE26354F9A}"/>
    <cellStyle name="Explanatory Text 5" xfId="1147" xr:uid="{A7117FA4-6847-4989-AF34-075C37F49EFB}"/>
    <cellStyle name="Explanatory Text 6" xfId="1148" xr:uid="{51883B90-ED88-48D7-9709-D63EC7CF9429}"/>
    <cellStyle name="Explanatory Text 7" xfId="1149" xr:uid="{F7D26566-DFEC-41E5-8EA3-2DC4562E36D5}"/>
    <cellStyle name="Explanatory Text 8" xfId="1150" xr:uid="{6EB73EE2-6003-4039-8C49-7147C840BBEF}"/>
    <cellStyle name="Explanatory Text 9" xfId="1151" xr:uid="{6F4F77A7-CEE6-4853-86DF-70ACA4489B49}"/>
    <cellStyle name="FY_Basis" xfId="2061" xr:uid="{E35BB956-64EB-4A7B-A8AB-FD87CC2FEFF1}"/>
    <cellStyle name="Good 10" xfId="1152" xr:uid="{7BD61723-2C81-429F-8010-8E90A3645D81}"/>
    <cellStyle name="Good 10 2" xfId="4774" xr:uid="{C603222C-B79A-4D89-AF54-7F747476A335}"/>
    <cellStyle name="Good 10_Exist Trunk Assets - Ferry" xfId="8606" xr:uid="{DEFD4DDC-FA97-4827-9688-CB5823D95670}"/>
    <cellStyle name="Good 11" xfId="1153" xr:uid="{7E21AEA1-6390-4EF9-9A28-DB24CD713D3E}"/>
    <cellStyle name="Good 11 2" xfId="4775" xr:uid="{C4F3863E-93DF-4CF1-8D5E-93EBEE760F42}"/>
    <cellStyle name="Good 11_Exist Trunk Assets - Ferry" xfId="8607" xr:uid="{8986B0C7-3B67-47BB-AA33-4F23E6501D79}"/>
    <cellStyle name="Good 12" xfId="1154" xr:uid="{E22F3587-35D3-4C1D-9B06-B36343B8B5AE}"/>
    <cellStyle name="Good 12 2" xfId="4776" xr:uid="{6371C4E1-7F6A-42CB-91C3-A62148F549C5}"/>
    <cellStyle name="Good 12_Exist Trunk Assets - Ferry" xfId="8608" xr:uid="{367B5074-33E8-4795-999B-FFC12B838FC2}"/>
    <cellStyle name="Good 13" xfId="1155" xr:uid="{170C543E-021D-4BDB-9456-E05BC07BF797}"/>
    <cellStyle name="Good 13 2" xfId="4777" xr:uid="{324FBADA-23ED-4B8E-8A2C-332CD7761038}"/>
    <cellStyle name="Good 13_Exist Trunk Assets - Ferry" xfId="8609" xr:uid="{F140A688-52CA-4194-82E3-1A9D9BC7D0F6}"/>
    <cellStyle name="Good 14" xfId="1156" xr:uid="{D9426493-AA80-444E-87CE-BC96B7735ADD}"/>
    <cellStyle name="Good 14 2" xfId="4778" xr:uid="{E1B12BF0-EECA-4261-9BED-CA23635696D2}"/>
    <cellStyle name="Good 14_Exist Trunk Assets - Ferry" xfId="8610" xr:uid="{09F2B156-254D-4E9D-AB9F-5EB9E776B6C9}"/>
    <cellStyle name="Good 15" xfId="1157" xr:uid="{5F784E26-F5FC-465D-8859-277221DB42B2}"/>
    <cellStyle name="Good 15 2" xfId="4779" xr:uid="{E8AB3D76-DFB2-40BD-9B15-EEFC90B0C1E5}"/>
    <cellStyle name="Good 15_Exist Trunk Assets - Ferry" xfId="8611" xr:uid="{194E8557-B881-4043-95F1-12395F7269EA}"/>
    <cellStyle name="Good 16" xfId="1158" xr:uid="{76550B3A-C148-4963-9583-0AF2B2E49910}"/>
    <cellStyle name="Good 16 2" xfId="4780" xr:uid="{A658596C-F85A-4602-969D-240C8CAC22E6}"/>
    <cellStyle name="Good 16_Exist Trunk Assets - Ferry" xfId="8612" xr:uid="{D688934C-FB66-45FE-AD7D-2DB9F19C9FC3}"/>
    <cellStyle name="Good 17" xfId="1159" xr:uid="{BA618439-940C-48B7-B4A0-732F3B4C243C}"/>
    <cellStyle name="Good 17 2" xfId="4781" xr:uid="{AFCB432A-D325-4B6D-9F75-3F75B40962F3}"/>
    <cellStyle name="Good 17_Exist Trunk Assets - Ferry" xfId="8613" xr:uid="{930D53D8-4B5C-432A-98BF-81820376A53E}"/>
    <cellStyle name="Good 18" xfId="1160" xr:uid="{25D841D9-536A-4F34-BB31-082DDC8A59DA}"/>
    <cellStyle name="Good 18 2" xfId="4782" xr:uid="{12347ECA-D2D1-43EF-A258-60B6C55DE849}"/>
    <cellStyle name="Good 18_Exist Trunk Assets - Ferry" xfId="8614" xr:uid="{16BDDE2C-BDE7-4378-916B-647AF5F7FC7E}"/>
    <cellStyle name="Good 19" xfId="1161" xr:uid="{53000637-7529-4C48-8E8A-63F36AD3FA36}"/>
    <cellStyle name="Good 19 2" xfId="4783" xr:uid="{58D12D4A-6785-4A14-A125-A5D8D48B87DB}"/>
    <cellStyle name="Good 19_Exist Trunk Assets - Ferry" xfId="8615" xr:uid="{9C1997D8-6B05-4AD2-A8FE-FA87C3562BA2}"/>
    <cellStyle name="Good 2" xfId="1162" xr:uid="{52DF4043-55A1-427B-83BA-6303059065B1}"/>
    <cellStyle name="Good 2 2" xfId="4784" xr:uid="{2F90FB70-9F47-408D-970A-8ECB5727863C}"/>
    <cellStyle name="Good 2_Exist Trunk Assets - Ferry" xfId="8616" xr:uid="{BFAB6F72-9FE8-4B7A-B3BF-57917C27AEE8}"/>
    <cellStyle name="Good 20" xfId="1163" xr:uid="{AA320AB9-3536-4907-A8CC-B38A5DFB73DD}"/>
    <cellStyle name="Good 20 2" xfId="4785" xr:uid="{1F4541B6-A2D9-49E5-9CC0-32191A72B202}"/>
    <cellStyle name="Good 20_Exist Trunk Assets - Ferry" xfId="8617" xr:uid="{8CF841C2-DED7-400A-AE71-1C46E9B353B6}"/>
    <cellStyle name="Good 21" xfId="1164" xr:uid="{3B4AF542-27B0-43C9-91AD-7A84AB2F11FF}"/>
    <cellStyle name="Good 21 2" xfId="4786" xr:uid="{F776E509-14E4-4ACD-8673-BC61C7A3369F}"/>
    <cellStyle name="Good 21_Exist Trunk Assets - Ferry" xfId="8618" xr:uid="{EF387666-7950-47EA-A387-4BEFD96B1CDE}"/>
    <cellStyle name="Good 22" xfId="1165" xr:uid="{09E18054-85FE-4122-B02E-BA3629FD5E37}"/>
    <cellStyle name="Good 22 2" xfId="4787" xr:uid="{A6C3319B-E79F-4A99-8960-5E8825FCDDE0}"/>
    <cellStyle name="Good 22_Exist Trunk Assets - Ferry" xfId="8619" xr:uid="{06EDFFEE-8981-4CEB-8E8D-EBEEF4EE5347}"/>
    <cellStyle name="Good 23" xfId="1166" xr:uid="{7008CF27-7DD6-4D02-B11C-98366D6A6B22}"/>
    <cellStyle name="Good 23 2" xfId="4788" xr:uid="{BBED5100-CF5E-4EE1-9E66-CA745DAAB66F}"/>
    <cellStyle name="Good 23_Exist Trunk Assets - Ferry" xfId="8620" xr:uid="{E3DA91D5-BC16-4822-9251-2CB807B85427}"/>
    <cellStyle name="Good 24" xfId="1167" xr:uid="{8474FA25-5F2B-458D-8C23-99F31406809B}"/>
    <cellStyle name="Good 24 2" xfId="4789" xr:uid="{E82B3D69-BA06-46C8-8757-E8FBB47D0F20}"/>
    <cellStyle name="Good 24_Exist Trunk Assets - Ferry" xfId="8621" xr:uid="{29B98A37-B8A9-4B7F-B0B4-735FE6BEF3CF}"/>
    <cellStyle name="Good 25" xfId="1168" xr:uid="{0A1A8479-84E1-4D10-AB18-A2C732C0E799}"/>
    <cellStyle name="Good 25 2" xfId="4790" xr:uid="{FDCC0E99-FED8-4E34-B545-9DCD92FE114E}"/>
    <cellStyle name="Good 25_Exist Trunk Assets - Ferry" xfId="8622" xr:uid="{FD977865-E0D7-4B05-8405-FBE08E6138C3}"/>
    <cellStyle name="Good 26" xfId="1169" xr:uid="{129D88C7-1CBD-468C-B72E-BAAEE313965B}"/>
    <cellStyle name="Good 26 2" xfId="4791" xr:uid="{C9AD3C6A-CDB9-4CAA-AFE9-CA9A3D80976C}"/>
    <cellStyle name="Good 26_Exist Trunk Assets - Ferry" xfId="8623" xr:uid="{119C3C7B-A7A2-4E1A-AF12-423565784BE2}"/>
    <cellStyle name="Good 27" xfId="1170" xr:uid="{A14FADD6-389E-4F64-9633-C05544947716}"/>
    <cellStyle name="Good 27 2" xfId="4792" xr:uid="{67C7FBDA-1B3B-49E3-8951-81B8AD484075}"/>
    <cellStyle name="Good 27_Exist Trunk Assets - Ferry" xfId="8624" xr:uid="{0A42011C-3E94-46C0-AB55-41A82E587390}"/>
    <cellStyle name="Good 28" xfId="1171" xr:uid="{39F50DF0-A2D3-41D6-BAC2-7F8CFF885F40}"/>
    <cellStyle name="Good 28 2" xfId="4793" xr:uid="{D865B44E-31CF-40E1-B886-863B88EC1759}"/>
    <cellStyle name="Good 28_Exist Trunk Assets - Ferry" xfId="8625" xr:uid="{074BEE14-A608-46F0-ADAF-969A2193B5B0}"/>
    <cellStyle name="Good 29" xfId="1172" xr:uid="{41C80C84-BB05-49C0-AAE8-8F43B46E57B9}"/>
    <cellStyle name="Good 29 2" xfId="4794" xr:uid="{7BA975FC-FB90-41ED-8BE7-7D0453BB12BB}"/>
    <cellStyle name="Good 29_Exist Trunk Assets - Ferry" xfId="8626" xr:uid="{D1C61EFC-427A-4D2D-B481-37DEDCAFC73D}"/>
    <cellStyle name="Good 3" xfId="1173" xr:uid="{75CBB547-C2C6-40C0-B2DA-3E7C07BA6894}"/>
    <cellStyle name="Good 3 2" xfId="4795" xr:uid="{5531571D-6919-4A22-9DDA-158AE0338E27}"/>
    <cellStyle name="Good 3_Exist Trunk Assets - Ferry" xfId="8627" xr:uid="{4BF87B7A-108C-47B1-BF5D-D6EAA5150CAC}"/>
    <cellStyle name="Good 30" xfId="1174" xr:uid="{16550572-3D76-4826-B7D9-01CA7B81BF98}"/>
    <cellStyle name="Good 30 2" xfId="4796" xr:uid="{944C4941-58EA-411A-98EB-6F59C3D118AF}"/>
    <cellStyle name="Good 30_Exist Trunk Assets - Ferry" xfId="8628" xr:uid="{F86F2757-2C76-4A6E-AA66-A583F8DB7767}"/>
    <cellStyle name="Good 31" xfId="1175" xr:uid="{410E8140-EA13-4AF1-9F9E-786F8A98F926}"/>
    <cellStyle name="Good 31 2" xfId="4797" xr:uid="{F5AA89DC-D040-484C-A2BC-D37A19E25BD1}"/>
    <cellStyle name="Good 31_Exist Trunk Assets - Ferry" xfId="8629" xr:uid="{4EF76071-DEF5-49FC-967E-799670B0FF20}"/>
    <cellStyle name="Good 32" xfId="1176" xr:uid="{D2AC2739-FE46-4784-AB3F-779D58CC4B6B}"/>
    <cellStyle name="Good 32 2" xfId="4798" xr:uid="{790520D4-94AE-435F-B7E3-23E007EAB976}"/>
    <cellStyle name="Good 32_Exist Trunk Assets - Ferry" xfId="8630" xr:uid="{E584D5A0-3355-48A2-9DF1-4BA353558EF3}"/>
    <cellStyle name="Good 33" xfId="1177" xr:uid="{D7412DD8-BAA1-4846-A28C-CAAD0D613149}"/>
    <cellStyle name="Good 33 2" xfId="4799" xr:uid="{06F95909-7E88-4EA2-8126-F4D97EC23186}"/>
    <cellStyle name="Good 33_Exist Trunk Assets - Ferry" xfId="8631" xr:uid="{87857B1E-2747-4B4A-AC5B-8F162402BF41}"/>
    <cellStyle name="Good 34" xfId="1178" xr:uid="{B19C99B7-58BE-4CBF-9B4E-DB632277F629}"/>
    <cellStyle name="Good 34 2" xfId="4800" xr:uid="{401AA6E9-21B3-4C52-A3AC-CD4CAA6B1D3C}"/>
    <cellStyle name="Good 34_Exist Trunk Assets - Ferry" xfId="8632" xr:uid="{0200F3F4-E57D-42F3-BEC2-68CC95C70AC0}"/>
    <cellStyle name="Good 35" xfId="1179" xr:uid="{BC1778AE-C1E9-4061-B460-2427E7894A89}"/>
    <cellStyle name="Good 35 2" xfId="4801" xr:uid="{21182E19-D1C9-41DA-8277-00BF6BBBDC84}"/>
    <cellStyle name="Good 35_Exist Trunk Assets - Ferry" xfId="8633" xr:uid="{6050387D-9C8E-4044-A1B4-FA925F091EF5}"/>
    <cellStyle name="Good 36" xfId="1180" xr:uid="{398A17C5-A32C-43C2-A289-5ED5D6C783C2}"/>
    <cellStyle name="Good 36 2" xfId="4802" xr:uid="{38E796A8-0B31-40E5-9F1D-0E8CE4C82A60}"/>
    <cellStyle name="Good 36_Exist Trunk Assets - Ferry" xfId="8634" xr:uid="{1BA2AB66-B46B-461A-AB1F-EF4137AF6D21}"/>
    <cellStyle name="Good 37" xfId="1181" xr:uid="{AB4E5AC8-13C4-400E-AA7D-3C8030CCB2F9}"/>
    <cellStyle name="Good 37 2" xfId="4803" xr:uid="{2291C69C-DFB9-409E-A793-0F33D50FBAFD}"/>
    <cellStyle name="Good 37_Exist Trunk Assets - Ferry" xfId="8635" xr:uid="{1493A2CE-8BCC-4C35-9AD4-A71DB4A7EDAD}"/>
    <cellStyle name="Good 4" xfId="1182" xr:uid="{C74FCA4B-66FF-4E65-9507-FE9E55A1FE54}"/>
    <cellStyle name="Good 4 2" xfId="2403" xr:uid="{E69D56A5-0DFE-42A2-B68C-7452E67F1CFD}"/>
    <cellStyle name="Good 4 2 2" xfId="4804" xr:uid="{5FE6E48F-4821-4085-A1F3-D91E7E613BD3}"/>
    <cellStyle name="Good 4 2_Exist Trunk Assets - Ferry" xfId="8637" xr:uid="{30842CDF-7203-489F-9FB0-A9C6A3250B7B}"/>
    <cellStyle name="Good 4 3" xfId="2402" xr:uid="{7ED6F3D4-2A3E-4EC7-85F1-BE173BD2AF46}"/>
    <cellStyle name="Good 4 4" xfId="4805" xr:uid="{0A4A5B6A-31D3-4771-9D3D-E8559309E458}"/>
    <cellStyle name="Good 4 5" xfId="4806" xr:uid="{0D3B139F-E4AE-4207-BCA2-D22FEAF84EE7}"/>
    <cellStyle name="Good 4_Exist Trunk Assets - Ferry" xfId="8636" xr:uid="{B03B5696-B9D7-43C4-8276-3C3F7A179163}"/>
    <cellStyle name="Good 5" xfId="1183" xr:uid="{7CA928C2-FDB6-4F6F-BDB2-2EE8410EB989}"/>
    <cellStyle name="Good 5 2" xfId="4807" xr:uid="{14D3718E-5376-49E4-9AF8-B1E11F91F456}"/>
    <cellStyle name="Good 5_Exist Trunk Assets - Ferry" xfId="8638" xr:uid="{A3995349-C962-4850-8D8E-19BE90530C87}"/>
    <cellStyle name="Good 6" xfId="1184" xr:uid="{DF02E7DE-F195-4A79-8963-B0A1B435335D}"/>
    <cellStyle name="Good 6 2" xfId="4808" xr:uid="{BB2E0917-794C-4A8F-8759-E839F2574444}"/>
    <cellStyle name="Good 6_Exist Trunk Assets - Ferry" xfId="8639" xr:uid="{4C2A3421-7935-4F9C-B93F-FFB6D661A9AD}"/>
    <cellStyle name="Good 7" xfId="1185" xr:uid="{A5C5C737-32B4-4612-B5C4-1914079744F3}"/>
    <cellStyle name="Good 7 2" xfId="4809" xr:uid="{AA2E9DF2-E6FA-43D9-AF89-53F8A1968D9C}"/>
    <cellStyle name="Good 7_Exist Trunk Assets - Ferry" xfId="8640" xr:uid="{B835CBB2-BDB2-45E9-8848-6D7C78C9ACF9}"/>
    <cellStyle name="Good 8" xfId="1186" xr:uid="{6A7A4E2D-AC21-4C9C-B630-71A1CC0DDCDB}"/>
    <cellStyle name="Good 8 2" xfId="4810" xr:uid="{499D146A-C050-4DBD-A57A-013556EE5F29}"/>
    <cellStyle name="Good 8_Exist Trunk Assets - Ferry" xfId="8641" xr:uid="{FD5022D5-D60C-4207-AC21-AEBF3CB0ED44}"/>
    <cellStyle name="Good 9" xfId="1187" xr:uid="{5A4BF522-B549-4CF8-81B7-B74660A6D5C2}"/>
    <cellStyle name="Good 9 2" xfId="4811" xr:uid="{7FA99820-00C2-4D77-A1DD-9CBC9C0CDB8C}"/>
    <cellStyle name="Good 9_Exist Trunk Assets - Ferry" xfId="8642" xr:uid="{439160FE-9E72-4994-AEB1-31F7CA3A109C}"/>
    <cellStyle name="Graph Heading" xfId="2062" xr:uid="{3FA260AA-FAC7-40E8-BF38-57F1C0D51B7E}"/>
    <cellStyle name="Graph Heading 2" xfId="7543" xr:uid="{0C48C1A4-2C9F-4C31-9F59-C88B7A2BD77F}"/>
    <cellStyle name="Graph Heading 3" xfId="7858" xr:uid="{DAC357CF-1A36-4EE2-8A1B-499B69AB6E35}"/>
    <cellStyle name="Graph Heading_Exist Trunk Assets - Ferry" xfId="8643" xr:uid="{F1552C1A-F998-4CFC-AFFB-37DDDC0409EB}"/>
    <cellStyle name="Graph Text" xfId="2063" xr:uid="{E3401473-DA2E-45A5-BFC7-8628C8B0EFC3}"/>
    <cellStyle name="Grey" xfId="2064" xr:uid="{093B3646-0947-4EB5-9980-F734CF386DB2}"/>
    <cellStyle name="H_Date" xfId="2065" xr:uid="{1016F2A4-4FAF-4E51-A509-462A60EB759A}"/>
    <cellStyle name="H_Date_Exist Trunk Assets - Ferry" xfId="8644" xr:uid="{568FA091-F382-46CA-A87D-9EA5AE2A3D16}"/>
    <cellStyle name="H_Date_Existing Trunk Assets - Pathway" xfId="8143" xr:uid="{B9C32E04-E84E-4109-AA34-890AA854FA03}"/>
    <cellStyle name="H_Date_Future Trunk Assets - Ferry" xfId="8217" xr:uid="{D6BA67FB-8BF7-4144-9EF4-982182515E0E}"/>
    <cellStyle name="Header1" xfId="2066" xr:uid="{B24479D6-5948-4AB0-BFC7-62AC1731D1EE}"/>
    <cellStyle name="Header2" xfId="2067" xr:uid="{CCF8FF87-FF0E-41CA-98A8-8AFA3A468761}"/>
    <cellStyle name="Header2 2" xfId="7544" xr:uid="{EFC6AF7B-FC03-4249-B412-D39AA52186D5}"/>
    <cellStyle name="Header2 3" xfId="7859" xr:uid="{0BE72583-EAF9-4089-A18C-D7E51B56F117}"/>
    <cellStyle name="Header2_Exist Trunk Assets - Ferry" xfId="8645" xr:uid="{5E0AD250-FFBC-4E1D-8BE4-F6BC1619D560}"/>
    <cellStyle name="Heading 1 10" xfId="1188" xr:uid="{5CB3087A-D874-4AA5-B102-0C9935BB47AC}"/>
    <cellStyle name="Heading 1 11" xfId="1189" xr:uid="{D188B844-7BF5-4D84-97F0-F35926293B86}"/>
    <cellStyle name="Heading 1 12" xfId="1190" xr:uid="{BD67B778-CFFC-4C9A-950A-4480D01B40D6}"/>
    <cellStyle name="Heading 1 13" xfId="1191" xr:uid="{28BADAE5-FE3F-4311-AB8E-628D29ABBA7B}"/>
    <cellStyle name="Heading 1 14" xfId="1192" xr:uid="{8A6D8F1A-EEC6-43AF-A85A-D8699CBDAB19}"/>
    <cellStyle name="Heading 1 15" xfId="1193" xr:uid="{72285A5E-85A3-4817-870D-55051793C6D0}"/>
    <cellStyle name="Heading 1 16" xfId="1194" xr:uid="{76A1F503-B6D5-4288-B81F-111BF4023B3F}"/>
    <cellStyle name="Heading 1 17" xfId="1195" xr:uid="{42228FA9-BC72-4A76-8E00-9981C9F965FB}"/>
    <cellStyle name="Heading 1 18" xfId="1196" xr:uid="{17E91E3A-A585-42E8-A7E6-0469511BDF22}"/>
    <cellStyle name="Heading 1 19" xfId="1197" xr:uid="{69413FEA-8779-4E89-A451-175BE38D89F3}"/>
    <cellStyle name="Heading 1 2" xfId="1198" xr:uid="{86A3AEE5-97FB-4CB9-956A-DAD5D1951742}"/>
    <cellStyle name="Heading 1 20" xfId="1199" xr:uid="{EC4916F9-9EAE-4FA7-BA05-C22A5B4D053D}"/>
    <cellStyle name="Heading 1 21" xfId="1200" xr:uid="{701DF99B-83DC-493C-905C-5D88410BA62D}"/>
    <cellStyle name="Heading 1 22" xfId="1201" xr:uid="{C6B2F1BC-9AF5-48EC-A523-CE226126B1BC}"/>
    <cellStyle name="Heading 1 23" xfId="1202" xr:uid="{8EA93773-857D-46BC-BA33-75C66BFD380E}"/>
    <cellStyle name="Heading 1 24" xfId="1203" xr:uid="{B65482E5-243A-43C3-AD24-099BC67339AA}"/>
    <cellStyle name="Heading 1 25" xfId="1204" xr:uid="{A3CE6F39-5CAA-4D7B-886F-B325156D4FD9}"/>
    <cellStyle name="Heading 1 26" xfId="1205" xr:uid="{79200054-CAFA-4BC7-AC15-68F2D48A9167}"/>
    <cellStyle name="Heading 1 27" xfId="1206" xr:uid="{861C1A24-D69C-4B64-A1DE-7BF2C09D0A8A}"/>
    <cellStyle name="Heading 1 28" xfId="1207" xr:uid="{CBE03988-0353-45B7-8A87-E5AB1B3BC497}"/>
    <cellStyle name="Heading 1 29" xfId="1208" xr:uid="{76E077B9-02FB-4286-A6C3-4231178BABA3}"/>
    <cellStyle name="Heading 1 3" xfId="1209" xr:uid="{97E65D30-B069-45BF-8957-D05AAC164A88}"/>
    <cellStyle name="Heading 1 30" xfId="1210" xr:uid="{80223F38-984C-4C1B-AAE7-984C37843DDC}"/>
    <cellStyle name="Heading 1 31" xfId="1211" xr:uid="{067F69DB-3D98-4FA8-8266-0C828B3BFC55}"/>
    <cellStyle name="Heading 1 32" xfId="1212" xr:uid="{6F95CF3B-FB1E-448C-B7B5-95F607FA6559}"/>
    <cellStyle name="Heading 1 33" xfId="1213" xr:uid="{ADDFDAD9-F3B0-4AC4-8CBB-83D2F8FA9448}"/>
    <cellStyle name="Heading 1 34" xfId="1214" xr:uid="{8F29CBB0-C271-42C9-8E01-038D2B584673}"/>
    <cellStyle name="Heading 1 35" xfId="1215" xr:uid="{F49492B7-D86F-46FD-BC90-43A67E1EBA2B}"/>
    <cellStyle name="Heading 1 36" xfId="1216" xr:uid="{498FFB2F-5DD9-4125-85AE-F98AF23AB0F6}"/>
    <cellStyle name="Heading 1 37" xfId="1217" xr:uid="{898A2DDF-BC8A-480D-A368-8BADD10958BB}"/>
    <cellStyle name="Heading 1 4" xfId="1218" xr:uid="{938A1CAE-2884-4D27-B8A6-E3FCB73CF45A}"/>
    <cellStyle name="Heading 1 5" xfId="1219" xr:uid="{F15EA139-F3A6-4663-9CE2-A56EE298F2A9}"/>
    <cellStyle name="Heading 1 6" xfId="1220" xr:uid="{7F825C55-90BA-4D14-AC9A-C9F756613C7B}"/>
    <cellStyle name="Heading 1 7" xfId="1221" xr:uid="{47E7C67C-FB0A-4AE6-8A62-6FE40D372853}"/>
    <cellStyle name="Heading 1 8" xfId="1222" xr:uid="{778400A4-2B20-4921-BEBB-969E5FE74BDF}"/>
    <cellStyle name="Heading 1 9" xfId="1223" xr:uid="{D2920A16-D73E-46C2-93DD-BF867498E3B9}"/>
    <cellStyle name="Heading 11 Bold" xfId="2068" xr:uid="{BA0CC36C-6987-4E53-828F-B1033B7EF37A}"/>
    <cellStyle name="Heading 11 Bold 2" xfId="7545" xr:uid="{C13F0A1A-2AD6-4A6D-A680-DCA8116FDDBC}"/>
    <cellStyle name="Heading 11 Bold 3" xfId="7860" xr:uid="{77BD2AEA-708E-4646-9CAF-2AFF029F37D1}"/>
    <cellStyle name="Heading 11 Bold_Exist Trunk Assets - Ferry" xfId="8646" xr:uid="{6E154931-21F6-4852-8F72-33F49121B21D}"/>
    <cellStyle name="Heading 2 10" xfId="1224" xr:uid="{F74C25F8-156E-4865-9C29-09C149FD236D}"/>
    <cellStyle name="Heading 2 11" xfId="1225" xr:uid="{8173FE94-1A88-4A77-B6F8-5AEF12BB8950}"/>
    <cellStyle name="Heading 2 12" xfId="1226" xr:uid="{393DBF6E-5C56-4166-99C6-4DA3446FA61E}"/>
    <cellStyle name="Heading 2 13" xfId="1227" xr:uid="{209965F0-2DB4-48EC-8C9D-102D8F14DBD7}"/>
    <cellStyle name="Heading 2 14" xfId="1228" xr:uid="{5CA009A9-53B8-4987-A89B-6A9E92EDFB8B}"/>
    <cellStyle name="Heading 2 15" xfId="1229" xr:uid="{97B9FB7C-A16F-4279-B804-1056DD450FE0}"/>
    <cellStyle name="Heading 2 16" xfId="1230" xr:uid="{2CB5136E-565C-4EDD-A5FE-E66661E60DB9}"/>
    <cellStyle name="Heading 2 17" xfId="1231" xr:uid="{8F3821C9-2629-4D51-995E-9654B0FDDAEA}"/>
    <cellStyle name="Heading 2 18" xfId="1232" xr:uid="{3F074CFB-B5C6-4A1A-841D-7005631D3CC8}"/>
    <cellStyle name="Heading 2 19" xfId="1233" xr:uid="{F1FB6CBA-F371-4497-8F9E-93789461EA83}"/>
    <cellStyle name="Heading 2 2" xfId="1234" xr:uid="{F6A3FD66-7CF1-45FD-864D-A538B48EB2DF}"/>
    <cellStyle name="Heading 2 20" xfId="1235" xr:uid="{1B8EE9E8-60AF-4A8B-B517-97D7725D7FA9}"/>
    <cellStyle name="Heading 2 21" xfId="1236" xr:uid="{6177497F-26FF-46A8-878E-8E3D165DC309}"/>
    <cellStyle name="Heading 2 22" xfId="1237" xr:uid="{AA827289-FD1B-4FD8-AA70-8318EC94C331}"/>
    <cellStyle name="Heading 2 23" xfId="1238" xr:uid="{9B0E1F43-ED23-4977-AC74-2834B0EE0AC4}"/>
    <cellStyle name="Heading 2 24" xfId="1239" xr:uid="{20677ED8-1742-4305-9DC5-892DFDF34954}"/>
    <cellStyle name="Heading 2 25" xfId="1240" xr:uid="{1559D6C8-4210-471A-9D4D-C44A8F6F34ED}"/>
    <cellStyle name="Heading 2 26" xfId="1241" xr:uid="{83539D20-DC33-46F9-9AFC-228E5B53BD1E}"/>
    <cellStyle name="Heading 2 27" xfId="1242" xr:uid="{21362ED1-2776-44AD-9A13-7900380254F6}"/>
    <cellStyle name="Heading 2 28" xfId="1243" xr:uid="{A548770A-DC9E-4A3E-A3EF-9B995B90C5B2}"/>
    <cellStyle name="Heading 2 29" xfId="1244" xr:uid="{EB37CAFC-455F-4175-9E94-BBEC749EE135}"/>
    <cellStyle name="Heading 2 3" xfId="1245" xr:uid="{5D2B033F-1AC9-4E65-90CB-764503BB4CD6}"/>
    <cellStyle name="Heading 2 30" xfId="1246" xr:uid="{DC0E17DA-DF71-4ABC-8F9B-093686B5AC02}"/>
    <cellStyle name="Heading 2 31" xfId="1247" xr:uid="{6E52D688-FE0A-447B-8D77-DF5E76B046A0}"/>
    <cellStyle name="Heading 2 32" xfId="1248" xr:uid="{72DE8514-C89C-44C8-8209-1C6760D2AFD5}"/>
    <cellStyle name="Heading 2 33" xfId="1249" xr:uid="{37D92FC5-CF48-4020-A9BC-8BC71EBA14AE}"/>
    <cellStyle name="Heading 2 34" xfId="1250" xr:uid="{D1FBB172-AD11-47A2-927C-32927C33F3B2}"/>
    <cellStyle name="Heading 2 35" xfId="1251" xr:uid="{F7692494-49F4-4E02-ACB8-C47809F8C12B}"/>
    <cellStyle name="Heading 2 36" xfId="1252" xr:uid="{2D2628DF-8E12-4FDD-9068-924611D85A0D}"/>
    <cellStyle name="Heading 2 37" xfId="1253" xr:uid="{7ECC2A86-F3B9-40CB-9C32-A035E9FA9F27}"/>
    <cellStyle name="Heading 2 4" xfId="1254" xr:uid="{74E7B1F5-2411-449D-B0B6-ED4834244696}"/>
    <cellStyle name="Heading 2 5" xfId="1255" xr:uid="{4807DFF4-E420-47F5-A843-87D4B8A9B642}"/>
    <cellStyle name="Heading 2 6" xfId="1256" xr:uid="{7D76997D-75C8-40BB-A4D7-E9441CF3BCFF}"/>
    <cellStyle name="Heading 2 7" xfId="1257" xr:uid="{5F4A4732-855F-429E-BF75-A0ABB3705688}"/>
    <cellStyle name="Heading 2 8" xfId="1258" xr:uid="{F0A3AE8C-0469-40FA-ABAC-23CC41D74225}"/>
    <cellStyle name="Heading 2 9" xfId="1259" xr:uid="{9DF7E14E-47E3-4B5A-8049-251E35A8A16C}"/>
    <cellStyle name="Heading 3 10" xfId="1260" xr:uid="{028FAFF4-3451-4665-A63B-DD31E99D1E66}"/>
    <cellStyle name="Heading 3 11" xfId="1261" xr:uid="{E0392C3B-2B04-468D-9B16-8DB919EDFE95}"/>
    <cellStyle name="Heading 3 12" xfId="1262" xr:uid="{B4879DB6-20D6-4963-83E2-03EBCDEFD72F}"/>
    <cellStyle name="Heading 3 13" xfId="1263" xr:uid="{9025E007-F670-454F-8BD0-EF83ACC09D6E}"/>
    <cellStyle name="Heading 3 14" xfId="1264" xr:uid="{63B22948-9D71-4FA4-84F8-D95CBA18B534}"/>
    <cellStyle name="Heading 3 15" xfId="1265" xr:uid="{71B57F65-4EDB-4398-B6CF-200D21C61510}"/>
    <cellStyle name="Heading 3 16" xfId="1266" xr:uid="{09CA1CBD-B9AF-4363-AB45-A4EE94891D01}"/>
    <cellStyle name="Heading 3 17" xfId="1267" xr:uid="{A58D8218-6CFC-4BB2-B67F-6616F00CC435}"/>
    <cellStyle name="Heading 3 18" xfId="1268" xr:uid="{ED6B09C3-5A4A-4750-A5E3-A29FF9956EB9}"/>
    <cellStyle name="Heading 3 19" xfId="1269" xr:uid="{9418A48D-E75C-44B0-98BF-C9AB429BE340}"/>
    <cellStyle name="Heading 3 2" xfId="1270" xr:uid="{2267521E-26DA-4F17-AB51-8BD58F28D0C1}"/>
    <cellStyle name="Heading 3 20" xfId="1271" xr:uid="{33A46F9C-00EF-4CE8-8B89-5D6CB20B212A}"/>
    <cellStyle name="Heading 3 21" xfId="1272" xr:uid="{358F7C8C-5A81-4081-B498-F5423284EDD4}"/>
    <cellStyle name="Heading 3 22" xfId="1273" xr:uid="{F9632D2E-EB3F-4572-AA79-9810A69DB249}"/>
    <cellStyle name="Heading 3 23" xfId="1274" xr:uid="{283FDADD-F8EB-40D6-AEAB-2621E31B7DE7}"/>
    <cellStyle name="Heading 3 24" xfId="1275" xr:uid="{6342DD5D-8E28-445E-900F-A53D5CB5706C}"/>
    <cellStyle name="Heading 3 25" xfId="1276" xr:uid="{1F4CEA3E-674C-4B44-A9D7-5E914974D665}"/>
    <cellStyle name="Heading 3 26" xfId="1277" xr:uid="{421C107F-70FC-4065-81A7-2DD1BADA3790}"/>
    <cellStyle name="Heading 3 27" xfId="1278" xr:uid="{A8A3D8CC-2E2B-4C77-9813-E39446B5B1AA}"/>
    <cellStyle name="Heading 3 28" xfId="1279" xr:uid="{A7EE0CDF-CF8B-466C-98C5-122074F76F60}"/>
    <cellStyle name="Heading 3 29" xfId="1280" xr:uid="{A4E24BAB-6F3E-44DB-849D-3BCBA6B5482B}"/>
    <cellStyle name="Heading 3 3" xfId="1281" xr:uid="{9E5554D2-C67A-4E7E-A195-BBBDB4EE99C5}"/>
    <cellStyle name="Heading 3 30" xfId="1282" xr:uid="{32283365-E0A6-43D3-B79D-DFCF6765136C}"/>
    <cellStyle name="Heading 3 31" xfId="1283" xr:uid="{C5C6C9FA-BFF5-4F55-B11A-8E28EFC361FF}"/>
    <cellStyle name="Heading 3 32" xfId="1284" xr:uid="{3CC8E51D-7211-4C47-B05E-FA16D4BD0615}"/>
    <cellStyle name="Heading 3 33" xfId="1285" xr:uid="{FE6DAF12-BC77-4AB3-986E-20A5ACCA2BEC}"/>
    <cellStyle name="Heading 3 34" xfId="1286" xr:uid="{1CB20A1B-F084-4D19-8052-6835A13569C9}"/>
    <cellStyle name="Heading 3 35" xfId="1287" xr:uid="{9614F787-CBFB-4C46-8235-6595F6CE6449}"/>
    <cellStyle name="Heading 3 36" xfId="1288" xr:uid="{139477CE-8D6E-400F-9145-63025B05693E}"/>
    <cellStyle name="Heading 3 37" xfId="1289" xr:uid="{0AE621A7-4E10-4FC1-B8F4-E3B07FB61DFB}"/>
    <cellStyle name="Heading 3 4" xfId="1290" xr:uid="{D69190D5-CAE6-40C7-886F-47101FBB0F4B}"/>
    <cellStyle name="Heading 3 5" xfId="1291" xr:uid="{7990F4AD-2B18-4885-9FF6-A66EF4B7E1D0}"/>
    <cellStyle name="Heading 3 6" xfId="1292" xr:uid="{B573948F-6A81-418A-9696-6B474AD0534F}"/>
    <cellStyle name="Heading 3 7" xfId="1293" xr:uid="{9AB85333-2CF9-49F0-BB9E-DD48EC7A69B9}"/>
    <cellStyle name="Heading 3 8" xfId="1294" xr:uid="{016F4135-3CF7-49C3-AE50-A0B91999D823}"/>
    <cellStyle name="Heading 3 9" xfId="1295" xr:uid="{15D9F5BA-CB2E-4F70-88A6-9E2C633E1309}"/>
    <cellStyle name="Heading 4 10" xfId="1296" xr:uid="{B63008A7-3AE2-4621-A57F-CB3CCEBF9E1D}"/>
    <cellStyle name="Heading 4 11" xfId="1297" xr:uid="{95366EF6-A793-42C2-A1AE-63ADE0E8F3BA}"/>
    <cellStyle name="Heading 4 12" xfId="1298" xr:uid="{E74D503E-2342-4911-B9D3-E84A8AB1085F}"/>
    <cellStyle name="Heading 4 13" xfId="1299" xr:uid="{AA42F1AD-EAAD-4D67-84FF-377875D17149}"/>
    <cellStyle name="Heading 4 14" xfId="1300" xr:uid="{FD32CD27-1765-4412-AFC0-55C17CF3DA96}"/>
    <cellStyle name="Heading 4 15" xfId="1301" xr:uid="{90727763-4A88-4B0A-8E11-067B0DE41009}"/>
    <cellStyle name="Heading 4 16" xfId="1302" xr:uid="{CBA0300F-FC59-4C94-81BA-795DE05B9EEF}"/>
    <cellStyle name="Heading 4 17" xfId="1303" xr:uid="{59C004E0-3C75-4DD0-8C5F-F9DBA0376F31}"/>
    <cellStyle name="Heading 4 18" xfId="1304" xr:uid="{E06F5F57-4C08-4C2E-B168-CE49E8A6E200}"/>
    <cellStyle name="Heading 4 19" xfId="1305" xr:uid="{4773E8E5-29F5-4666-82DA-10A3AE64E3A2}"/>
    <cellStyle name="Heading 4 2" xfId="1306" xr:uid="{92B0CDAF-1A89-4FE5-97EC-157DFFB1CC53}"/>
    <cellStyle name="Heading 4 20" xfId="1307" xr:uid="{56196141-7332-4BB6-BB8B-E35A5BADCCB4}"/>
    <cellStyle name="Heading 4 21" xfId="1308" xr:uid="{535D4C7D-3D23-46EC-91D5-0C0FB1051F7A}"/>
    <cellStyle name="Heading 4 22" xfId="1309" xr:uid="{41914791-35EC-4404-AB78-2FA5DD593EAD}"/>
    <cellStyle name="Heading 4 23" xfId="1310" xr:uid="{8AD7BDED-C482-4592-A69B-6C7FF6CA3C6B}"/>
    <cellStyle name="Heading 4 24" xfId="1311" xr:uid="{E4F37001-D0D8-4BD2-A609-C61F643D9A3E}"/>
    <cellStyle name="Heading 4 25" xfId="1312" xr:uid="{B96C6CD0-F706-4B70-8710-4BFCCC1268F7}"/>
    <cellStyle name="Heading 4 26" xfId="1313" xr:uid="{29519115-84B5-4118-A8C7-322D4F95C35D}"/>
    <cellStyle name="Heading 4 27" xfId="1314" xr:uid="{33F5C613-93D2-4399-BF92-DDD2B59A275F}"/>
    <cellStyle name="Heading 4 28" xfId="1315" xr:uid="{4D792195-7477-4A5A-B828-46EBBF99E635}"/>
    <cellStyle name="Heading 4 29" xfId="1316" xr:uid="{87AC216E-CFC5-4DB6-BD96-BADC4AA7CA9E}"/>
    <cellStyle name="Heading 4 3" xfId="1317" xr:uid="{B277C976-CD53-4DC2-988C-2D8DD1AE8EBC}"/>
    <cellStyle name="Heading 4 30" xfId="1318" xr:uid="{59831819-52BD-411D-B0EF-CA9A2C48F94A}"/>
    <cellStyle name="Heading 4 31" xfId="1319" xr:uid="{7227C1DE-6EB7-4673-A0F3-AC89D42FAABD}"/>
    <cellStyle name="Heading 4 32" xfId="1320" xr:uid="{453F52C1-CE4B-4A67-8D0C-12F4A131B7CD}"/>
    <cellStyle name="Heading 4 33" xfId="1321" xr:uid="{880A7DC9-A528-470B-8549-87E57C7AAD0A}"/>
    <cellStyle name="Heading 4 34" xfId="1322" xr:uid="{1B6473D2-498E-4AA3-AFD1-3035E6F57E3E}"/>
    <cellStyle name="Heading 4 35" xfId="1323" xr:uid="{1CB6F66F-8ABD-48B4-9F07-4206EAB87D10}"/>
    <cellStyle name="Heading 4 36" xfId="1324" xr:uid="{D613E8CD-5468-4AC2-89A2-274AA34BA480}"/>
    <cellStyle name="Heading 4 37" xfId="1325" xr:uid="{E58BEAEC-E70B-4371-A005-7170F8214824}"/>
    <cellStyle name="Heading 4 4" xfId="1326" xr:uid="{F79D53BB-D5A6-4615-89A6-C407D2E0588A}"/>
    <cellStyle name="Heading 4 5" xfId="1327" xr:uid="{B9A08DA2-58A5-4E53-AD0B-2B25805DAAE8}"/>
    <cellStyle name="Heading 4 6" xfId="1328" xr:uid="{1D0BB8E4-EB17-49C0-968A-F4A9CA92708B}"/>
    <cellStyle name="Heading 4 7" xfId="1329" xr:uid="{76BE9F9D-1534-4418-AABC-65CF7FFA2DCC}"/>
    <cellStyle name="Heading 4 8" xfId="1330" xr:uid="{929BE398-2061-4396-8CA8-E803BF73D87E}"/>
    <cellStyle name="Heading 4 9" xfId="1331" xr:uid="{1C2C23FC-BE52-4C3B-B4D6-5A178C438358}"/>
    <cellStyle name="HPproduct" xfId="2069" xr:uid="{E607DDDC-296B-419D-A62C-213F3D9C321F}"/>
    <cellStyle name="Hyperlink" xfId="3" builtinId="8"/>
    <cellStyle name="Hyperlink 2" xfId="8144" xr:uid="{81D4049F-8BA7-41D0-93F3-138FB042548D}"/>
    <cellStyle name="Hyperlink 3" xfId="8145" xr:uid="{0728B558-9C7D-4BF7-95CA-3BF918AB4A34}"/>
    <cellStyle name="Hyperlink Text" xfId="2070" xr:uid="{6364A7F3-F3E7-4D3D-8F15-A5DDE02AF216}"/>
    <cellStyle name="I_#_0dp" xfId="5" xr:uid="{00000000-0005-0000-0000-000003000000}"/>
    <cellStyle name="I_#_0dp_Exist Trunk Assets - Ferry" xfId="8647" xr:uid="{6AC669C4-C4D6-428D-8E33-BF12EED505CD}"/>
    <cellStyle name="I_#_0dp_Existing Trunk Assets - Pathway" xfId="8146" xr:uid="{6297AABC-41BF-4B82-90C1-303FA204E6D2}"/>
    <cellStyle name="I_#_0dp_FINAL DRAFT" xfId="2404" xr:uid="{FA6EF318-7108-4776-9EDD-3DD5B5F4E946}"/>
    <cellStyle name="I_#_0dp_FINAL DRAFT_Exist Trunk Assets - Ferry" xfId="8648" xr:uid="{F99E1A97-8F4F-445C-B41D-C36929AEB873}"/>
    <cellStyle name="I_#_0dp_FINAL DRAFT_Existing Trunk Assets - Pathway" xfId="8147" xr:uid="{0A0951C8-E22B-4CC3-B2ED-366716197B37}"/>
    <cellStyle name="I_#_0dp_FINAL DRAFT_Future Trunk Assets - Ferry" xfId="8219" xr:uid="{A207B437-503C-4086-BE6F-C1C1E109A2C0}"/>
    <cellStyle name="I_#_0dp_Future Trunk Assets - Ferry" xfId="8218" xr:uid="{785B8D4E-B9B0-469B-9B5F-841D86A76894}"/>
    <cellStyle name="I_#_0dp_Input-Gen" xfId="2071" xr:uid="{9457748F-CAF0-4207-9198-EDA0D9EFC087}"/>
    <cellStyle name="I_#_0dp_Input-Gen_Exist Trunk Assets - Ferry" xfId="8649" xr:uid="{3D25AE95-4F62-44B3-BB5D-69BD4D34A045}"/>
    <cellStyle name="I_#_0dp_Input-Gen_Existing Trunk Assets - Pathway" xfId="8148" xr:uid="{B9C6FD61-0CB7-435E-BF95-6B47973D74BF}"/>
    <cellStyle name="I_#_0dp_Input-Gen_Future Trunk Assets - Ferry" xfId="8220" xr:uid="{12BF57C9-DB4F-4B68-94A1-C835F927942E}"/>
    <cellStyle name="I_#_0dp_PIP2 EM Template + BCC Notes" xfId="2405" xr:uid="{F121841B-1117-4C65-B14F-243BFB301C68}"/>
    <cellStyle name="I_#_0dp_PIP2 EM Template + BCC Notes_Exist Trunk Assets - Ferry" xfId="8650" xr:uid="{3B6ED596-0CC9-4A40-A9F2-AC72498BDC22}"/>
    <cellStyle name="I_#_0dp_PIP2 EM Template + BCC Notes_Existing Trunk Assets - Pathway" xfId="8149" xr:uid="{AB38C6CB-3E86-4DC8-8F22-9FEAF0521F6C}"/>
    <cellStyle name="I_#_0dp_PIP2 EM Template + BCC Notes_Future Trunk Assets - Ferry" xfId="8221" xr:uid="{359CE518-DD81-432C-9A1A-F1C916B21E02}"/>
    <cellStyle name="I_#_0dp_WICT Operating Cost 20080820" xfId="2072" xr:uid="{06BE3A91-4359-4B94-ACEB-56EC568A9F6E}"/>
    <cellStyle name="I_#_0dp_WICT Operating Cost 20080820_Exist Trunk Assets - Ferry" xfId="8651" xr:uid="{8838ADBA-A909-48C7-A505-8B528ADFB869}"/>
    <cellStyle name="I_#_0dp_WICT Operating Cost 20080820_Existing Trunk Assets - Pathway" xfId="8150" xr:uid="{E5FEB48D-607F-40A5-B340-D122F3AA83AF}"/>
    <cellStyle name="I_#_0dp_WICT Operating Cost 20080820_Future Trunk Assets - Ferry" xfId="8222" xr:uid="{982A4E05-AAC9-4F4A-90D1-4ED96439F3B8}"/>
    <cellStyle name="I_#_4dp" xfId="2073" xr:uid="{82425F47-3AD2-4397-B14C-7D26889F3CD5}"/>
    <cellStyle name="I_#_4dp_Exist Trunk Assets - Ferry" xfId="8652" xr:uid="{41CC2D6B-CB34-4ED5-988B-5A16EB3491EE}"/>
    <cellStyle name="I_#_4dp_Existing Trunk Assets - Pathway" xfId="8151" xr:uid="{E93DB66A-E2E6-48A7-98DE-B0E5CCC5DBED}"/>
    <cellStyle name="I_#_4dp_Future Trunk Assets - Ferry" xfId="8223" xr:uid="{26F1E0C7-005A-4A1D-93EB-11D5806B7172}"/>
    <cellStyle name="I_#_4dp_WICT Operating Cost 20080820" xfId="2074" xr:uid="{7845A4E5-9938-429F-A314-0AB37C2A5AEC}"/>
    <cellStyle name="I_#_4dp_WICT Operating Cost 20080820_Exist Trunk Assets - Ferry" xfId="8653" xr:uid="{B9ADD9DB-E5A9-4105-9234-9C0696DE9E6B}"/>
    <cellStyle name="I_#_4dp_WICT Operating Cost 20080820_Existing Trunk Assets - Pathway" xfId="8152" xr:uid="{95BF47B6-96D3-41F1-B705-D9CFED41E0CA}"/>
    <cellStyle name="I_#_4dp_WICT Operating Cost 20080820_Future Trunk Assets - Ferry" xfId="8224" xr:uid="{870B8066-D3B4-4344-9761-99C1166412CB}"/>
    <cellStyle name="I_%_2dp" xfId="2075" xr:uid="{3E1864F8-30F7-44FB-99B4-44C173A1889D}"/>
    <cellStyle name="I_%_2dp_Exist Trunk Assets - Ferry" xfId="8654" xr:uid="{9CDE5798-9A2B-4AB0-8B09-498CCC2015B5}"/>
    <cellStyle name="I_%_2dp_Existing Trunk Assets - Pathway" xfId="8153" xr:uid="{B4EA3A98-DED2-462F-84BD-135B9F1F3F75}"/>
    <cellStyle name="I_%_2dp_Future Trunk Assets - Ferry" xfId="8225" xr:uid="{E3B6FFCA-F0BD-4C99-8D6D-F0E16E867EB9}"/>
    <cellStyle name="I_%_2dp_WICT Operating Cost 20080820" xfId="2076" xr:uid="{2698EFD6-2A74-4F2D-8C1D-E8706DAC5058}"/>
    <cellStyle name="I_%_2dp_WICT Operating Cost 20080820_Exist Trunk Assets - Ferry" xfId="8655" xr:uid="{8AF2D136-D935-4BC3-BCB4-CC757D15D20C}"/>
    <cellStyle name="I_%_2dp_WICT Operating Cost 20080820_Existing Trunk Assets - Pathway" xfId="8154" xr:uid="{A351A49A-1712-46F2-B893-8749F8E03F5C}"/>
    <cellStyle name="I_%_2dp_WICT Operating Cost 20080820_Future Trunk Assets - Ferry" xfId="8226" xr:uid="{9927A746-03A5-4C53-9ADF-379C3AA3FA08}"/>
    <cellStyle name="I_Comment" xfId="2077" xr:uid="{228B81DB-B3AC-439E-896F-6429F5D348BA}"/>
    <cellStyle name="I_Comment_Exist Trunk Assets - Ferry" xfId="8656" xr:uid="{BF9E834C-1B85-4DD1-9A1C-517EAC3D947B}"/>
    <cellStyle name="I_Comment_Existing Trunk Assets - Pathway" xfId="8155" xr:uid="{E9D62B83-2A1D-4E5B-ADFF-4387748D66DB}"/>
    <cellStyle name="I_Comment_Future Trunk Assets - Ferry" xfId="8227" xr:uid="{C571F277-E9E8-475F-ABE5-D0122EEA224A}"/>
    <cellStyle name="I_Comment_WICT Operating Cost 20080820" xfId="2078" xr:uid="{A6ABB63B-E59D-47DA-8BFA-12B5B7AC6307}"/>
    <cellStyle name="I_Comment_WICT Operating Cost 20080820_Exist Trunk Assets - Ferry" xfId="8657" xr:uid="{7F3C8D2A-B275-4CE8-87E5-CCCA088327AC}"/>
    <cellStyle name="I_Comment_WICT Operating Cost 20080820_Existing Trunk Assets - Pathway" xfId="8156" xr:uid="{1DA9B721-B640-4924-8CB1-07DA677E4D50}"/>
    <cellStyle name="I_Comment_WICT Operating Cost 20080820_Future Trunk Assets - Ferry" xfId="8228" xr:uid="{0C5E11FF-AF24-4289-8B8E-2828AC0C412D}"/>
    <cellStyle name="I_Date" xfId="2079" xr:uid="{420A2A73-D8CD-4025-B894-6576778BB274}"/>
    <cellStyle name="I_Date_Exist Trunk Assets - Ferry" xfId="8658" xr:uid="{71294833-99F8-4E54-86F8-CA1785A25A90}"/>
    <cellStyle name="I_Date_Existing Trunk Assets - Pathway" xfId="8157" xr:uid="{33DBEB10-8E47-4373-8F55-839CCCA4C465}"/>
    <cellStyle name="I_Date_Future Trunk Assets - Ferry" xfId="8229" xr:uid="{08B79EE2-E8AD-4CF9-927B-F03BFB33719F}"/>
    <cellStyle name="I_Date_WICT Operating Cost 20080820" xfId="2080" xr:uid="{01080E78-A01C-41EA-BA99-D38529FE1C10}"/>
    <cellStyle name="I_Date_WICT Operating Cost 20080820_Exist Trunk Assets - Ferry" xfId="8659" xr:uid="{C6DFD058-F460-4766-B1A3-AA23A19D0A5F}"/>
    <cellStyle name="I_Date_WICT Operating Cost 20080820_Existing Trunk Assets - Pathway" xfId="8158" xr:uid="{98B80AFE-2746-4391-8C93-58F4CF9B244A}"/>
    <cellStyle name="I_Date_WICT Operating Cost 20080820_Future Trunk Assets - Ferry" xfId="8230" xr:uid="{E45F235F-89C6-4868-978E-E3B05CBE525C}"/>
    <cellStyle name="I_Text" xfId="2081" xr:uid="{D67035C6-9D01-44FA-818F-AFC564EFA62A}"/>
    <cellStyle name="I_Text_Exist Trunk Assets - Ferry" xfId="8660" xr:uid="{003B8453-AF9A-48F3-AF04-19A621BC1F4F}"/>
    <cellStyle name="I_Text_Existing Trunk Assets - Pathway" xfId="8159" xr:uid="{B161CD9E-21B7-4AF4-9154-2D9A2DBB2AF4}"/>
    <cellStyle name="I_Text_Future Trunk Assets - Ferry" xfId="8231" xr:uid="{7CC10531-1E03-4D2E-BAE7-5C6D018EEE8B}"/>
    <cellStyle name="I_Text_WICT Operating Cost 20080820" xfId="2082" xr:uid="{6AC23F74-4BC1-41B5-8C7A-BC8DB7978FAD}"/>
    <cellStyle name="I_Text_WICT Operating Cost 20080820_Exist Trunk Assets - Ferry" xfId="8661" xr:uid="{886B8973-F62F-4294-A358-5507705C9A4F}"/>
    <cellStyle name="I_Text_WICT Operating Cost 20080820_Existing Trunk Assets - Pathway" xfId="8160" xr:uid="{0E874F5F-D2B3-43B0-8989-28B9BBE78FD4}"/>
    <cellStyle name="I_Text_WICT Operating Cost 20080820_Future Trunk Assets - Ferry" xfId="8232" xr:uid="{8DFB8FB3-4BDA-4466-9068-8521AA4F88BE}"/>
    <cellStyle name="Input [yellow]" xfId="2083" xr:uid="{B77FE059-10FC-4FF2-B025-832CA0329822}"/>
    <cellStyle name="Input [yellow] 2" xfId="7546" xr:uid="{45DE4FD1-FDD8-4FF0-94E2-BF5B80C480F6}"/>
    <cellStyle name="Input [yellow] 3" xfId="7861" xr:uid="{308A4220-76FB-4A5D-857C-11DD90ED4A78}"/>
    <cellStyle name="Input [yellow]_Exist Trunk Assets - Ferry" xfId="8662" xr:uid="{13918CDA-6FC9-4E53-80C5-1FE45CCFCA3B}"/>
    <cellStyle name="Input 10" xfId="1332" xr:uid="{C373EA42-8C31-4C5D-B0EC-7152DDD31230}"/>
    <cellStyle name="Input 11" xfId="1333" xr:uid="{32D888AF-6E32-4419-8C44-DCCF62DF9749}"/>
    <cellStyle name="Input 12" xfId="1334" xr:uid="{AD9F22D8-3E64-4AE2-8B58-6DCCD9A3C75A}"/>
    <cellStyle name="Input 13" xfId="1335" xr:uid="{043F9148-A2B4-472F-A750-89B3D20248F2}"/>
    <cellStyle name="Input 14" xfId="1336" xr:uid="{CC42831A-3E93-4C15-A8CC-B51119BC06C3}"/>
    <cellStyle name="Input 15" xfId="1337" xr:uid="{6B3556E5-82D6-42CD-9842-C2091DBE857C}"/>
    <cellStyle name="Input 16" xfId="1338" xr:uid="{90973BE2-CD67-4C6B-8698-ED9B65ED4BA6}"/>
    <cellStyle name="Input 17" xfId="1339" xr:uid="{E95ED1AC-5EB7-4845-9035-FE5CADEAD9B8}"/>
    <cellStyle name="Input 18" xfId="1340" xr:uid="{9F50C9BE-F9AD-41C0-8C91-69E9057F1680}"/>
    <cellStyle name="Input 19" xfId="1341" xr:uid="{44A1DC88-43BF-4B21-BD89-FA5C5FF35434}"/>
    <cellStyle name="Input 2" xfId="1342" xr:uid="{9B80E8B8-DCEA-490B-A969-111FDA5D589E}"/>
    <cellStyle name="Input 20" xfId="1343" xr:uid="{27C2D91D-2AE3-4B4C-BAEF-3F988230635F}"/>
    <cellStyle name="Input 21" xfId="1344" xr:uid="{35465846-CD04-4704-AC0A-C43DD2351559}"/>
    <cellStyle name="Input 22" xfId="1345" xr:uid="{95D03958-BAF5-4B9B-AF0D-12331F62A327}"/>
    <cellStyle name="Input 23" xfId="1346" xr:uid="{730C18C2-90D4-4CE1-AB40-CDE903853D73}"/>
    <cellStyle name="Input 24" xfId="1347" xr:uid="{330C00E3-EEB4-40E0-8A7D-5D41BCCAA747}"/>
    <cellStyle name="Input 25" xfId="1348" xr:uid="{A1BF2874-FC32-433E-9874-7FE1D2E6C3A7}"/>
    <cellStyle name="Input 26" xfId="1349" xr:uid="{5D7195DF-2267-4E2E-8EF9-2BCB7D8474A4}"/>
    <cellStyle name="Input 27" xfId="1350" xr:uid="{99BDAC24-F1F9-4F35-BFEF-FAFF3F7EE8CD}"/>
    <cellStyle name="Input 28" xfId="1351" xr:uid="{DE56379E-33FE-402E-AD5F-A57289584EFE}"/>
    <cellStyle name="Input 29" xfId="1352" xr:uid="{9CA9DD04-2BA8-4E3E-9A23-FB1F82D2B312}"/>
    <cellStyle name="Input 3" xfId="1353" xr:uid="{646CB6FE-AB83-4B5B-8FB1-4762CBC61FCF}"/>
    <cellStyle name="Input 30" xfId="1354" xr:uid="{05EBF68D-6CA3-480B-85EA-B2DF80F15C0C}"/>
    <cellStyle name="Input 31" xfId="1355" xr:uid="{D6F61302-A8B5-4250-A2AB-7A0ACF46DD37}"/>
    <cellStyle name="Input 32" xfId="1356" xr:uid="{3838657E-BE66-4518-AD40-4221F02464BF}"/>
    <cellStyle name="Input 33" xfId="1357" xr:uid="{EDF5315F-7298-4AC4-B1A6-8C6CE6BCA77D}"/>
    <cellStyle name="Input 34" xfId="1358" xr:uid="{90DDBAF4-2E5C-4817-8850-8A5A47563E29}"/>
    <cellStyle name="Input 35" xfId="1359" xr:uid="{20877ACD-B5AD-4D9A-A260-49E02D819983}"/>
    <cellStyle name="Input 36" xfId="1360" xr:uid="{85E7E200-E776-4ADC-AAE4-8C312D1D8DB1}"/>
    <cellStyle name="Input 37" xfId="1361" xr:uid="{DE489FC0-98AB-406B-8873-FB4517616325}"/>
    <cellStyle name="Input 4" xfId="1362" xr:uid="{1A0B1FBC-19F4-492B-AEA8-9BD1F20BC847}"/>
    <cellStyle name="Input 5" xfId="1363" xr:uid="{45416485-C6A8-4C68-8D37-89A7EEBDDD6C}"/>
    <cellStyle name="Input 6" xfId="1364" xr:uid="{44B9F043-4C57-4DA6-BD57-A06135055EAB}"/>
    <cellStyle name="Input 7" xfId="1365" xr:uid="{62B1A34A-4444-4162-BF02-1A6D70B03F10}"/>
    <cellStyle name="Input 8" xfId="1366" xr:uid="{14911194-C47E-4F79-81B9-537BACBEBFBA}"/>
    <cellStyle name="Input 9" xfId="1367" xr:uid="{33C731A2-D603-48B2-8A41-CD900E53A936}"/>
    <cellStyle name="Input Currency.1" xfId="2084" xr:uid="{F834889C-36DE-423D-AC34-CE08634A0B35}"/>
    <cellStyle name="Input percent" xfId="2085" xr:uid="{672CC73B-E64F-447F-9C89-89A0E3BFEF2B}"/>
    <cellStyle name="int_style" xfId="7810" xr:uid="{9D961DA6-18FE-43B5-A791-4FBE24AE2933}"/>
    <cellStyle name="Legend" xfId="2086" xr:uid="{CE208B51-8DDC-4932-B2E8-DD0DB8D48594}"/>
    <cellStyle name="Link Currency (0)" xfId="2087" xr:uid="{D8AC519D-6457-4B41-A57C-60C2D567A087}"/>
    <cellStyle name="Link Currency (0) 10" xfId="2088" xr:uid="{348FA3A8-779D-44A3-8594-074E2C44FF47}"/>
    <cellStyle name="Link Currency (0) 11" xfId="2089" xr:uid="{98F7817C-D08B-4346-B8CB-C865325D3910}"/>
    <cellStyle name="Link Currency (0) 2" xfId="2090" xr:uid="{284880C8-FA6C-4F6F-80C2-26B967F22B9D}"/>
    <cellStyle name="Link Currency (0) 2 2" xfId="2495" xr:uid="{44C18880-7ADD-4AAC-ACD0-A0D77E4DFF53}"/>
    <cellStyle name="Link Currency (0) 2_Exist Trunk Assets - Ferry" xfId="8664" xr:uid="{B4EC7503-764C-4EAD-9DF8-19D34B0561B8}"/>
    <cellStyle name="Link Currency (0) 3" xfId="2091" xr:uid="{08195E1B-AECB-4E6E-BC6B-E58030FE6B66}"/>
    <cellStyle name="Link Currency (0) 3 2" xfId="2496" xr:uid="{E1B7FF50-0D59-4BAB-9639-2E2C056572E8}"/>
    <cellStyle name="Link Currency (0) 3_Exist Trunk Assets - Ferry" xfId="8665" xr:uid="{6859F58F-DC49-49B3-A2FC-0C1A95FD0813}"/>
    <cellStyle name="Link Currency (0) 4" xfId="2092" xr:uid="{CD6DDF4E-F328-49DF-A733-90660490D012}"/>
    <cellStyle name="Link Currency (0) 4 2" xfId="2497" xr:uid="{569F51C3-0F46-4D24-A5D5-29AC00D53A14}"/>
    <cellStyle name="Link Currency (0) 4_Exist Trunk Assets - Ferry" xfId="8666" xr:uid="{1E69BB07-351A-4B17-9933-1406B8748DC0}"/>
    <cellStyle name="Link Currency (0) 5" xfId="2093" xr:uid="{6D0B99A9-57FE-4C96-8DCE-2BC966622D7D}"/>
    <cellStyle name="Link Currency (0) 5 2" xfId="2498" xr:uid="{BA7D8DB8-8463-445D-ACAB-B7149A654AC3}"/>
    <cellStyle name="Link Currency (0) 5_Exist Trunk Assets - Ferry" xfId="8667" xr:uid="{E8048F97-2C1C-4776-BA55-E49F98E84716}"/>
    <cellStyle name="Link Currency (0) 6" xfId="2094" xr:uid="{D7A695F8-B797-4DEF-A4F9-2044505FE59F}"/>
    <cellStyle name="Link Currency (0) 7" xfId="2095" xr:uid="{8DAD1BCF-E25A-4052-B9C4-6C2A10489B45}"/>
    <cellStyle name="Link Currency (0) 8" xfId="2096" xr:uid="{52AF0325-DE62-4127-9347-F136DA499212}"/>
    <cellStyle name="Link Currency (0) 9" xfId="2097" xr:uid="{994CDA07-A297-462A-A442-524958A1C90E}"/>
    <cellStyle name="Link Currency (0)_Exist Trunk Assets - Ferry" xfId="8663" xr:uid="{57D530A8-8C6C-4C2E-8B2D-F234CBFCD2E9}"/>
    <cellStyle name="Link Currency (2)" xfId="2098" xr:uid="{6C354983-9C9B-4F46-8FFB-8EE97307D0B1}"/>
    <cellStyle name="Link Currency (2) 10" xfId="2099" xr:uid="{1654EFE0-4AEA-4823-A14C-C2B97E169116}"/>
    <cellStyle name="Link Currency (2) 11" xfId="2100" xr:uid="{17B5023C-8267-4F0C-8B92-5B3E36AD5138}"/>
    <cellStyle name="Link Currency (2) 2" xfId="2101" xr:uid="{1AC4CCF2-68AE-4440-9BE5-C42E0B1CF2A5}"/>
    <cellStyle name="Link Currency (2) 2 2" xfId="2499" xr:uid="{205A6C5B-5404-44FE-96C8-DA6DB6C9D41C}"/>
    <cellStyle name="Link Currency (2) 2_Exist Trunk Assets - Ferry" xfId="8669" xr:uid="{2C7E0918-B80E-4567-AE0A-4B24C3E2DBE1}"/>
    <cellStyle name="Link Currency (2) 3" xfId="2102" xr:uid="{F7E7F4DB-C3A0-4234-91A7-1F107F76F1E1}"/>
    <cellStyle name="Link Currency (2) 3 2" xfId="2500" xr:uid="{FA8FE190-5C44-438D-8C44-EEC848CC6AC3}"/>
    <cellStyle name="Link Currency (2) 3_Exist Trunk Assets - Ferry" xfId="8670" xr:uid="{BB4C0517-32B1-4E91-8DC0-8EA278E3DA65}"/>
    <cellStyle name="Link Currency (2) 4" xfId="2103" xr:uid="{A4CB32E9-AF3D-43DF-ADF1-4F2F107C89A2}"/>
    <cellStyle name="Link Currency (2) 4 2" xfId="2501" xr:uid="{9ABE6DC6-EDC6-4539-B689-C16436181D1B}"/>
    <cellStyle name="Link Currency (2) 4_Exist Trunk Assets - Ferry" xfId="8671" xr:uid="{B5EB37DA-4DCF-4FC2-8ACA-16DC3EFB3EF7}"/>
    <cellStyle name="Link Currency (2) 5" xfId="2104" xr:uid="{155CDFB9-5FC7-4957-A6DC-EA6D183ABB8A}"/>
    <cellStyle name="Link Currency (2) 5 2" xfId="2502" xr:uid="{F308FE08-9A17-45D5-83D0-2C56FDF988B2}"/>
    <cellStyle name="Link Currency (2) 5_Exist Trunk Assets - Ferry" xfId="8672" xr:uid="{5EF0AAB0-51D9-476E-97C3-242778B445DC}"/>
    <cellStyle name="Link Currency (2) 6" xfId="2105" xr:uid="{84C94688-3D87-4874-B8C7-55E79331E39A}"/>
    <cellStyle name="Link Currency (2) 7" xfId="2106" xr:uid="{2AE673EA-3B68-4706-99F5-0BEE98656343}"/>
    <cellStyle name="Link Currency (2) 7 2" xfId="4812" xr:uid="{63619A6F-F19B-4A5C-859D-EB0A0E725602}"/>
    <cellStyle name="Link Currency (2) 7_Exist Trunk Assets - Ferry" xfId="8673" xr:uid="{416D3D5C-8541-4D9D-B77C-343ADC808059}"/>
    <cellStyle name="Link Currency (2) 8" xfId="2107" xr:uid="{D74B1251-6E5D-45FB-A9E9-9010F5434FFF}"/>
    <cellStyle name="Link Currency (2) 8 2" xfId="4813" xr:uid="{22D6ACFC-41BC-4D3D-A5BC-AAB2A2BE0E54}"/>
    <cellStyle name="Link Currency (2) 8_Exist Trunk Assets - Ferry" xfId="8674" xr:uid="{C264AF05-05B6-4D5D-89CC-074A46CEE217}"/>
    <cellStyle name="Link Currency (2) 9" xfId="2108" xr:uid="{A03DC5BC-D90E-4D17-A324-B636D81A3D70}"/>
    <cellStyle name="Link Currency (2) 9 2" xfId="4814" xr:uid="{F7188B70-9C7D-42A0-8BF0-0E1C258337D4}"/>
    <cellStyle name="Link Currency (2) 9_Exist Trunk Assets - Ferry" xfId="8675" xr:uid="{A09CE644-3E7F-49C9-AF3D-1AEFDCE70782}"/>
    <cellStyle name="Link Currency (2)_Exist Trunk Assets - Ferry" xfId="8668" xr:uid="{A43BC26B-E666-49E2-8DB0-F80843FE8C75}"/>
    <cellStyle name="Link Units (0)" xfId="2109" xr:uid="{C27239B6-C949-40A8-9CDF-B7D29D95BB41}"/>
    <cellStyle name="Link Units (0) 10" xfId="2110" xr:uid="{7FAB2042-91CC-47D7-85DD-230C48A1118B}"/>
    <cellStyle name="Link Units (0) 10 2" xfId="4815" xr:uid="{99A643FB-7D92-48FA-B8F6-9AF8284B6906}"/>
    <cellStyle name="Link Units (0) 10_Exist Trunk Assets - Ferry" xfId="8677" xr:uid="{6CE5326A-2772-423D-8D4A-302087F281A6}"/>
    <cellStyle name="Link Units (0) 11" xfId="2111" xr:uid="{879813A4-926E-46E7-9F3C-657E9A1BCC40}"/>
    <cellStyle name="Link Units (0) 11 2" xfId="4816" xr:uid="{D00A7280-FF96-4EA0-B094-C71BE16024D8}"/>
    <cellStyle name="Link Units (0) 11_Exist Trunk Assets - Ferry" xfId="8678" xr:uid="{302F6E42-4EFA-421E-A982-20068D19402E}"/>
    <cellStyle name="Link Units (0) 12" xfId="4817" xr:uid="{B8D7977D-B2F5-4AD0-96D7-DF5CEC5022EF}"/>
    <cellStyle name="Link Units (0) 2" xfId="2112" xr:uid="{F935D208-8EC6-45DD-8A0F-C62870F21C33}"/>
    <cellStyle name="Link Units (0) 2 2" xfId="2503" xr:uid="{680A7EA3-7D86-47E5-BBD3-A6D214CB82A4}"/>
    <cellStyle name="Link Units (0) 2 2 2" xfId="4818" xr:uid="{39F7A3F0-871B-4464-A094-A3CA2A8E8352}"/>
    <cellStyle name="Link Units (0) 2 2_Exist Trunk Assets - Ferry" xfId="8680" xr:uid="{FC183A95-77CC-4413-A333-D821F165F21A}"/>
    <cellStyle name="Link Units (0) 2 3" xfId="4819" xr:uid="{1F476910-A12E-4169-A0B2-46C5E4ADD400}"/>
    <cellStyle name="Link Units (0) 2_Exist Trunk Assets - Ferry" xfId="8679" xr:uid="{9B8A0D7B-0382-4BE3-84CF-AA1C9D36A0E1}"/>
    <cellStyle name="Link Units (0) 3" xfId="2113" xr:uid="{BF402FCB-7EF0-4CCF-AB8F-6E27E7A52596}"/>
    <cellStyle name="Link Units (0) 3 2" xfId="2504" xr:uid="{3F67737F-BBD5-4F53-8E66-50F292F88A16}"/>
    <cellStyle name="Link Units (0) 3 2 2" xfId="4820" xr:uid="{305C7664-5552-46E6-A941-387B7BF1D866}"/>
    <cellStyle name="Link Units (0) 3 2_Exist Trunk Assets - Ferry" xfId="8682" xr:uid="{9419397E-0A5C-459F-A1CE-82AE2307B320}"/>
    <cellStyle name="Link Units (0) 3 3" xfId="4821" xr:uid="{30A3DDDD-49D0-4AAB-8F05-5D0B1E66D9A7}"/>
    <cellStyle name="Link Units (0) 3_Exist Trunk Assets - Ferry" xfId="8681" xr:uid="{34BACBE3-3578-44DD-B37B-27B1A63CEACE}"/>
    <cellStyle name="Link Units (0) 4" xfId="2114" xr:uid="{46429054-00C9-405A-906C-8619334BD5F6}"/>
    <cellStyle name="Link Units (0) 4 2" xfId="2505" xr:uid="{B9B2406B-9902-465F-A058-895DCEA4ADA0}"/>
    <cellStyle name="Link Units (0) 4 2 2" xfId="4822" xr:uid="{22DEC387-F3D1-4237-8CCF-BAE74BDCE5B6}"/>
    <cellStyle name="Link Units (0) 4 2_Exist Trunk Assets - Ferry" xfId="8684" xr:uid="{24F588F6-F2B3-496D-B39F-8DD4B1B2AEF0}"/>
    <cellStyle name="Link Units (0) 4 3" xfId="4823" xr:uid="{C85D6AA7-15BB-42E3-810D-FD3F455B5819}"/>
    <cellStyle name="Link Units (0) 4_Exist Trunk Assets - Ferry" xfId="8683" xr:uid="{7EEA0476-2116-486A-97F2-76429D86D66A}"/>
    <cellStyle name="Link Units (0) 5" xfId="2115" xr:uid="{AD01C2E6-72AB-4A06-9C6C-00A3DC3299E4}"/>
    <cellStyle name="Link Units (0) 5 2" xfId="2506" xr:uid="{4015324D-96DB-49A3-988E-75F6E35C20F7}"/>
    <cellStyle name="Link Units (0) 5 2 2" xfId="4824" xr:uid="{D3624413-9DAA-4900-AFA7-77685DD9130B}"/>
    <cellStyle name="Link Units (0) 5 2_Exist Trunk Assets - Ferry" xfId="8686" xr:uid="{F86F77AE-0026-41BF-AD50-6AD2F38B40B2}"/>
    <cellStyle name="Link Units (0) 5 3" xfId="4825" xr:uid="{559459F5-0C62-442B-85D3-4C75AC2E5BDB}"/>
    <cellStyle name="Link Units (0) 5_Exist Trunk Assets - Ferry" xfId="8685" xr:uid="{486D9D73-FA23-49FC-A83E-7130A3A65911}"/>
    <cellStyle name="Link Units (0) 6" xfId="2116" xr:uid="{F2E13D55-12D8-4341-9D12-94AFF0FC5E5F}"/>
    <cellStyle name="Link Units (0) 6 2" xfId="4826" xr:uid="{787C6DC8-BE4A-4680-A060-AEA0A08F1838}"/>
    <cellStyle name="Link Units (0) 6_Exist Trunk Assets - Ferry" xfId="8687" xr:uid="{3F9A9EFF-A3D9-4170-8733-B3230EBDF3E8}"/>
    <cellStyle name="Link Units (0) 7" xfId="2117" xr:uid="{77B3766F-0FAB-4261-88D6-F6ECA7E535E8}"/>
    <cellStyle name="Link Units (0) 7 2" xfId="4827" xr:uid="{99B94382-AEE6-4420-BADA-7BD4612788C8}"/>
    <cellStyle name="Link Units (0) 7_Exist Trunk Assets - Ferry" xfId="8688" xr:uid="{DF88476C-197B-475A-82E5-58AD9C0EA230}"/>
    <cellStyle name="Link Units (0) 8" xfId="2118" xr:uid="{0366712F-00DB-4593-99D7-7F2DD284C3C3}"/>
    <cellStyle name="Link Units (0) 8 2" xfId="4828" xr:uid="{2729269E-146F-4DB8-A6CD-E223F4BCA7CA}"/>
    <cellStyle name="Link Units (0) 8_Exist Trunk Assets - Ferry" xfId="8689" xr:uid="{F91A2165-E59E-43E5-A3C2-4BB86828B8F5}"/>
    <cellStyle name="Link Units (0) 9" xfId="2119" xr:uid="{358626C9-E9D0-4A30-A7DD-AD6051895FAF}"/>
    <cellStyle name="Link Units (0) 9 2" xfId="4829" xr:uid="{2F3FF5D7-22A0-49BD-9B83-158F261000B0}"/>
    <cellStyle name="Link Units (0) 9_Exist Trunk Assets - Ferry" xfId="8690" xr:uid="{05D83441-EAD4-4DB1-913A-94F5F12C7097}"/>
    <cellStyle name="Link Units (0)_Exist Trunk Assets - Ferry" xfId="8676" xr:uid="{E724B530-3F66-443B-9F11-4F066A74EFCB}"/>
    <cellStyle name="Link Units (1)" xfId="2120" xr:uid="{E2A22B07-910A-459A-B0F3-69937F0812EF}"/>
    <cellStyle name="Link Units (1) 10" xfId="2121" xr:uid="{20993CE6-5B40-4012-9FFF-4E8CE39890B8}"/>
    <cellStyle name="Link Units (1) 10 2" xfId="4830" xr:uid="{CC2073D8-5A0E-4078-A18E-A9F807687BCE}"/>
    <cellStyle name="Link Units (1) 10_Exist Trunk Assets - Ferry" xfId="8692" xr:uid="{C1423FE2-A39A-41FF-9492-928EC3D76AF2}"/>
    <cellStyle name="Link Units (1) 11" xfId="2122" xr:uid="{B65016D4-2545-4B78-8B80-E176A76181D2}"/>
    <cellStyle name="Link Units (1) 11 2" xfId="4831" xr:uid="{54C768B3-7A37-4B86-9C5B-61246BCECA6B}"/>
    <cellStyle name="Link Units (1) 11_Exist Trunk Assets - Ferry" xfId="8693" xr:uid="{81FC7814-7EB1-44C3-8804-C117F967BE5D}"/>
    <cellStyle name="Link Units (1) 12" xfId="4832" xr:uid="{5ABE3937-AC15-42D4-847C-9825C3DEE5D4}"/>
    <cellStyle name="Link Units (1) 2" xfId="2123" xr:uid="{2DCC4E8D-37C8-4A9C-AA95-4D85E7EB5B89}"/>
    <cellStyle name="Link Units (1) 2 2" xfId="4833" xr:uid="{016C43D3-939D-4F57-A033-D757F0D15A8D}"/>
    <cellStyle name="Link Units (1) 2_Exist Trunk Assets - Ferry" xfId="8694" xr:uid="{E2A3F95D-624E-4E28-A051-9C9773168321}"/>
    <cellStyle name="Link Units (1) 3" xfId="2124" xr:uid="{F1775BF1-9AE3-4560-AF4C-E409D162B7A9}"/>
    <cellStyle name="Link Units (1) 3 2" xfId="4834" xr:uid="{FFCCEDCA-6FE8-45F5-9E94-D42F000216C1}"/>
    <cellStyle name="Link Units (1) 3_Exist Trunk Assets - Ferry" xfId="8695" xr:uid="{8D41E298-4212-468E-8967-06929DE087C7}"/>
    <cellStyle name="Link Units (1) 4" xfId="2125" xr:uid="{A9FF0FAE-A5B0-47D1-B5F4-44EE5B4437F4}"/>
    <cellStyle name="Link Units (1) 4 2" xfId="4835" xr:uid="{7D7F2C20-3A9D-4451-9B54-C28789BBE34B}"/>
    <cellStyle name="Link Units (1) 4_Exist Trunk Assets - Ferry" xfId="8696" xr:uid="{91B594AC-76CB-4A92-8435-540498863663}"/>
    <cellStyle name="Link Units (1) 5" xfId="2126" xr:uid="{7FF0DF0C-ADCE-4711-9E82-4CE0E708E609}"/>
    <cellStyle name="Link Units (1) 5 2" xfId="4836" xr:uid="{82D5A1B2-83DC-4AAA-AC4C-7DA5800B663A}"/>
    <cellStyle name="Link Units (1) 5_Exist Trunk Assets - Ferry" xfId="8697" xr:uid="{536BB44C-4575-4878-AEBE-E80E6EC3E0BE}"/>
    <cellStyle name="Link Units (1) 6" xfId="2127" xr:uid="{7344074F-B462-4BD9-BD2E-5668305E5B53}"/>
    <cellStyle name="Link Units (1) 6 2" xfId="4837" xr:uid="{E5E9AB2A-22F0-4C3B-B160-2783FEFD6009}"/>
    <cellStyle name="Link Units (1) 6_Exist Trunk Assets - Ferry" xfId="8698" xr:uid="{0ADF825F-FDCB-45DF-A3BC-6303B9B474C8}"/>
    <cellStyle name="Link Units (1) 7" xfId="2128" xr:uid="{EF93D256-A9F7-44E7-823D-B06CD6B18A81}"/>
    <cellStyle name="Link Units (1) 7 2" xfId="4838" xr:uid="{ACBE87EF-10F4-42E4-BBAC-D626B1637BA1}"/>
    <cellStyle name="Link Units (1) 7_Exist Trunk Assets - Ferry" xfId="8699" xr:uid="{2FBE612B-C42F-476A-B4A7-137B2BA1474C}"/>
    <cellStyle name="Link Units (1) 8" xfId="2129" xr:uid="{E2E7DCDC-EAD4-4050-9EA2-66190F9AB172}"/>
    <cellStyle name="Link Units (1) 8 2" xfId="4839" xr:uid="{4FCBC49E-ABC8-4974-97AC-BCC3BD7A4D9E}"/>
    <cellStyle name="Link Units (1) 8_Exist Trunk Assets - Ferry" xfId="8700" xr:uid="{587C1505-FC4F-4F5D-A9CB-F6B139902C5B}"/>
    <cellStyle name="Link Units (1) 9" xfId="2130" xr:uid="{D158417B-0CFF-4484-A591-A23CB59620D4}"/>
    <cellStyle name="Link Units (1) 9 2" xfId="4840" xr:uid="{0001B833-FF2F-41D6-9ECD-79794E0AAC41}"/>
    <cellStyle name="Link Units (1) 9_Exist Trunk Assets - Ferry" xfId="8701" xr:uid="{C68AA2EA-F6AC-4A04-8ABC-AC3B302AC80D}"/>
    <cellStyle name="Link Units (1)_Exist Trunk Assets - Ferry" xfId="8691" xr:uid="{F9776BEC-D4F2-490E-A444-567818CEBC7D}"/>
    <cellStyle name="Link Units (2)" xfId="2131" xr:uid="{7637C260-660F-4807-B34F-037C372C3447}"/>
    <cellStyle name="Link Units (2) 10" xfId="2132" xr:uid="{A22597F6-B383-4901-B632-4FBC1EAF31D8}"/>
    <cellStyle name="Link Units (2) 10 2" xfId="4841" xr:uid="{C2B08EE8-CB11-4627-9E1D-7F5D93C90EF1}"/>
    <cellStyle name="Link Units (2) 10_Exist Trunk Assets - Ferry" xfId="8703" xr:uid="{4BE25952-32B7-400F-BB73-29B23D4EF8E8}"/>
    <cellStyle name="Link Units (2) 11" xfId="2133" xr:uid="{CC18EFD1-5E71-4F56-B52D-D98ACA0979D4}"/>
    <cellStyle name="Link Units (2) 11 2" xfId="4842" xr:uid="{A7BE75CD-BD56-4001-B2C3-7A58EFE51299}"/>
    <cellStyle name="Link Units (2) 11_Exist Trunk Assets - Ferry" xfId="8704" xr:uid="{69A5666E-769E-44D9-9471-74B4AA77D93E}"/>
    <cellStyle name="Link Units (2) 12" xfId="4843" xr:uid="{C9879F28-72B2-4E73-9E51-3736FE5E4053}"/>
    <cellStyle name="Link Units (2) 2" xfId="2134" xr:uid="{1BECE221-FB12-40CC-98A0-DEECFA9DEEF6}"/>
    <cellStyle name="Link Units (2) 2 2" xfId="2507" xr:uid="{852C92EA-99E4-4F0A-AEB4-CF50E3A7731A}"/>
    <cellStyle name="Link Units (2) 2 2 2" xfId="4844" xr:uid="{89662BCB-22F1-4282-9963-51AD020E8631}"/>
    <cellStyle name="Link Units (2) 2 2_Exist Trunk Assets - Ferry" xfId="8706" xr:uid="{7D1FFE51-27CD-4B48-8721-E8F38CB6E939}"/>
    <cellStyle name="Link Units (2) 2 3" xfId="4845" xr:uid="{A23882FA-6047-4CA0-A997-EB6801DBD92D}"/>
    <cellStyle name="Link Units (2) 2_Exist Trunk Assets - Ferry" xfId="8705" xr:uid="{70229DFA-9B9B-49B9-902A-A35D97EEE1E0}"/>
    <cellStyle name="Link Units (2) 3" xfId="2135" xr:uid="{0817A062-8DE3-4B36-873D-1FD45AA322EB}"/>
    <cellStyle name="Link Units (2) 3 2" xfId="2508" xr:uid="{43A389E7-95C7-4795-9B18-EAB20D5DB8C8}"/>
    <cellStyle name="Link Units (2) 3 2 2" xfId="4846" xr:uid="{1F106FCB-15A1-4CBE-B0DD-392FF5B0192D}"/>
    <cellStyle name="Link Units (2) 3 2_Exist Trunk Assets - Ferry" xfId="8708" xr:uid="{C87CC981-3CF4-46AE-B798-166B14C78267}"/>
    <cellStyle name="Link Units (2) 3 3" xfId="4847" xr:uid="{09F7F05F-9F5F-4468-BF04-21C538DCA059}"/>
    <cellStyle name="Link Units (2) 3_Exist Trunk Assets - Ferry" xfId="8707" xr:uid="{46F43334-7773-4EAC-BC81-6EDA1CA08C5B}"/>
    <cellStyle name="Link Units (2) 4" xfId="2136" xr:uid="{C3255F59-C168-4011-9D6F-823EBBF8CFE4}"/>
    <cellStyle name="Link Units (2) 4 2" xfId="2509" xr:uid="{3738717F-06B7-4E88-A1A4-545147099335}"/>
    <cellStyle name="Link Units (2) 4 2 2" xfId="4848" xr:uid="{914A9A38-2A57-4379-AD63-8BCEF499060F}"/>
    <cellStyle name="Link Units (2) 4 2_Exist Trunk Assets - Ferry" xfId="8710" xr:uid="{4707C76F-B99D-4F9A-9A33-238E93EE000A}"/>
    <cellStyle name="Link Units (2) 4 3" xfId="4849" xr:uid="{97138476-1DFF-4455-9D61-E630C64EE70B}"/>
    <cellStyle name="Link Units (2) 4_Exist Trunk Assets - Ferry" xfId="8709" xr:uid="{C2519743-89D5-4D89-BA39-E46954E754EB}"/>
    <cellStyle name="Link Units (2) 5" xfId="2137" xr:uid="{E05894EE-452B-4FA2-B52E-A397E7778465}"/>
    <cellStyle name="Link Units (2) 5 2" xfId="2510" xr:uid="{7A52E392-DF30-4AC5-B037-D4F998A88A80}"/>
    <cellStyle name="Link Units (2) 5 2 2" xfId="4850" xr:uid="{775E1C49-3BA7-47EA-8DEC-81DD5D2582C9}"/>
    <cellStyle name="Link Units (2) 5 2_Exist Trunk Assets - Ferry" xfId="8712" xr:uid="{44616308-34DC-4B6F-930B-8643CF31BF7D}"/>
    <cellStyle name="Link Units (2) 5 3" xfId="4851" xr:uid="{AF4CB9F6-0C7D-442B-AEC7-8D15602C8653}"/>
    <cellStyle name="Link Units (2) 5_Exist Trunk Assets - Ferry" xfId="8711" xr:uid="{B2CB3F4B-A907-4B1C-918E-AC174E6FB326}"/>
    <cellStyle name="Link Units (2) 6" xfId="2138" xr:uid="{BD1C8E5F-5AB5-440C-9D81-3E91EE8AB8CF}"/>
    <cellStyle name="Link Units (2) 6 2" xfId="4852" xr:uid="{F6B50916-CA60-4888-B618-322F6363B002}"/>
    <cellStyle name="Link Units (2) 6_Exist Trunk Assets - Ferry" xfId="8713" xr:uid="{401190BF-3E30-4481-92B5-B2E7F6CC153C}"/>
    <cellStyle name="Link Units (2) 7" xfId="2139" xr:uid="{29C41E80-79DB-4587-867A-906DA22ABC05}"/>
    <cellStyle name="Link Units (2) 7 2" xfId="4853" xr:uid="{E5C5EDA7-2727-4A28-B14A-3C3C4A6178AF}"/>
    <cellStyle name="Link Units (2) 7_Exist Trunk Assets - Ferry" xfId="8714" xr:uid="{3C937E48-259A-4EDC-9D32-4BFBAE1C2295}"/>
    <cellStyle name="Link Units (2) 8" xfId="2140" xr:uid="{96E140C5-8EEC-4840-B903-E1F4A0DE2EA0}"/>
    <cellStyle name="Link Units (2) 8 2" xfId="4854" xr:uid="{651B64A9-AC9B-4B6D-BDF6-5B45A64A73BC}"/>
    <cellStyle name="Link Units (2) 8 3" xfId="4855" xr:uid="{185181F8-C001-4B54-A464-FADB5D6817A9}"/>
    <cellStyle name="Link Units (2) 8_Exist Trunk Assets - Ferry" xfId="8715" xr:uid="{8FC39ED8-C424-499B-9C8E-7113E15544D3}"/>
    <cellStyle name="Link Units (2) 9" xfId="2141" xr:uid="{7243B0B3-A2A8-49A0-96DE-2DD593655FF2}"/>
    <cellStyle name="Link Units (2) 9 2" xfId="4856" xr:uid="{E5067EBE-9744-4D4B-BE53-B189139C8426}"/>
    <cellStyle name="Link Units (2) 9 3" xfId="4857" xr:uid="{F46EABD5-1A5D-48B6-BFFF-50E6F2383ECF}"/>
    <cellStyle name="Link Units (2) 9_Exist Trunk Assets - Ferry" xfId="8716" xr:uid="{0D519147-755C-4163-AAB4-6FE7144B5C9F}"/>
    <cellStyle name="Link Units (2)_Exist Trunk Assets - Ferry" xfId="8702" xr:uid="{9CA89B7F-2820-4DDC-B48F-BE54584138B3}"/>
    <cellStyle name="Linked" xfId="2142" xr:uid="{B061A1D8-4AD3-40EF-B35B-2FADB875FE97}"/>
    <cellStyle name="Linked 2" xfId="4858" xr:uid="{9653044E-6A24-4E15-9104-AE36B36D1C80}"/>
    <cellStyle name="Linked 3" xfId="4859" xr:uid="{3A35F330-4A95-4396-BD58-3189C9B15071}"/>
    <cellStyle name="Linked Cell 10" xfId="1368" xr:uid="{E04463EF-4969-4207-AC8F-7A7DF02AF8A2}"/>
    <cellStyle name="Linked Cell 10 2" xfId="4860" xr:uid="{F7CD6FEC-DD49-45C1-A669-8B50498AE97B}"/>
    <cellStyle name="Linked Cell 10 3" xfId="4861" xr:uid="{8837CE3D-3457-41C8-9288-44697667CF40}"/>
    <cellStyle name="Linked Cell 10_Exist Trunk Assets - Ferry" xfId="8717" xr:uid="{9DC582A7-A20A-480B-9039-1D05C4D78055}"/>
    <cellStyle name="Linked Cell 11" xfId="1369" xr:uid="{7F2D3DE4-7332-4988-9338-B3E50E1E30EA}"/>
    <cellStyle name="Linked Cell 11 2" xfId="4862" xr:uid="{F959D806-D788-4D87-A022-C65B3183DA7A}"/>
    <cellStyle name="Linked Cell 11 3" xfId="4863" xr:uid="{A482BE7E-0C30-4282-A10B-321AECB31999}"/>
    <cellStyle name="Linked Cell 11_Exist Trunk Assets - Ferry" xfId="8718" xr:uid="{BC99741B-CBAA-4F96-91FC-8873465E3209}"/>
    <cellStyle name="Linked Cell 12" xfId="1370" xr:uid="{244EBB3D-555C-4CD9-80D4-4F1FD047AF84}"/>
    <cellStyle name="Linked Cell 12 2" xfId="4864" xr:uid="{71B4BB4A-F21A-4EDF-9323-B302487D279C}"/>
    <cellStyle name="Linked Cell 12 3" xfId="4865" xr:uid="{27C8F592-D359-49F8-8760-A50C93FE031D}"/>
    <cellStyle name="Linked Cell 12_Exist Trunk Assets - Ferry" xfId="8719" xr:uid="{A3DDFC79-9F05-4BE9-9B22-D527EC236CE4}"/>
    <cellStyle name="Linked Cell 13" xfId="1371" xr:uid="{6C70F44C-F5CC-41A2-8CB7-39F6170C7D4C}"/>
    <cellStyle name="Linked Cell 13 2" xfId="4866" xr:uid="{7FF64025-971F-4794-8939-4BE8B0DC564A}"/>
    <cellStyle name="Linked Cell 13 3" xfId="4867" xr:uid="{11285EEE-6D82-47BC-99CA-B9E3B18F4DAF}"/>
    <cellStyle name="Linked Cell 13_Exist Trunk Assets - Ferry" xfId="8720" xr:uid="{06DE7F02-94F1-4188-BF97-17183BE07BDE}"/>
    <cellStyle name="Linked Cell 14" xfId="1372" xr:uid="{0D845B45-42EA-4490-B4B4-6E4D6DD8AB1E}"/>
    <cellStyle name="Linked Cell 14 2" xfId="4868" xr:uid="{5A6EF32E-7616-4FE9-B2AA-5DE921F09F17}"/>
    <cellStyle name="Linked Cell 14 3" xfId="4869" xr:uid="{BC1D47C5-6BF5-4E4D-8B34-A8FFF0703D0A}"/>
    <cellStyle name="Linked Cell 14_Exist Trunk Assets - Ferry" xfId="8721" xr:uid="{7790BC34-5252-4865-BF97-1F55FA53E8AF}"/>
    <cellStyle name="Linked Cell 15" xfId="1373" xr:uid="{52DB5358-48BF-47CF-931E-C09EEC5F1D28}"/>
    <cellStyle name="Linked Cell 15 2" xfId="4870" xr:uid="{54360851-33B7-47FF-A133-200A9B3FD66B}"/>
    <cellStyle name="Linked Cell 15 3" xfId="4871" xr:uid="{CAB49B12-A00F-48BB-9EF2-195571666EB9}"/>
    <cellStyle name="Linked Cell 15_Exist Trunk Assets - Ferry" xfId="8722" xr:uid="{D18FE3E8-AE73-4A5E-8ECC-EB0E4A36F268}"/>
    <cellStyle name="Linked Cell 16" xfId="1374" xr:uid="{BF67010D-044E-4815-9444-6DE318BDB124}"/>
    <cellStyle name="Linked Cell 16 2" xfId="4872" xr:uid="{C3380CE8-1832-462C-AC20-68CE4044CAD0}"/>
    <cellStyle name="Linked Cell 16 3" xfId="4873" xr:uid="{1271F6CE-E8B6-4783-9E72-05764BDC7A3D}"/>
    <cellStyle name="Linked Cell 16_Exist Trunk Assets - Ferry" xfId="8723" xr:uid="{09A217B9-F71A-4055-BA26-81C35A73FE87}"/>
    <cellStyle name="Linked Cell 17" xfId="1375" xr:uid="{B66EE3E3-2EFB-42F0-82D8-0CFD15B034BC}"/>
    <cellStyle name="Linked Cell 17 2" xfId="4874" xr:uid="{9D596864-EA4E-4636-AEEB-40529D6FAF25}"/>
    <cellStyle name="Linked Cell 17 3" xfId="4875" xr:uid="{AAC03F95-8EBD-4F43-9642-5E0A1617E887}"/>
    <cellStyle name="Linked Cell 17_Exist Trunk Assets - Ferry" xfId="8724" xr:uid="{34C536CE-7E2F-48A9-BD0C-03B2A10D0EDF}"/>
    <cellStyle name="Linked Cell 18" xfId="1376" xr:uid="{4077A8C9-5194-4CD9-9277-D56DB8BDC63F}"/>
    <cellStyle name="Linked Cell 18 2" xfId="4876" xr:uid="{47C4C888-AF42-4177-9FFE-884E349938F6}"/>
    <cellStyle name="Linked Cell 18 3" xfId="4877" xr:uid="{39F383B6-FC84-47C2-BF35-BF474C3C7B4A}"/>
    <cellStyle name="Linked Cell 18_Exist Trunk Assets - Ferry" xfId="8725" xr:uid="{1CCF9E8A-09A7-4433-9430-DEBB12888B54}"/>
    <cellStyle name="Linked Cell 19" xfId="1377" xr:uid="{2BA31C54-F5C1-438E-9EAB-FEE5A45AF8ED}"/>
    <cellStyle name="Linked Cell 19 2" xfId="4878" xr:uid="{B16460E5-FA12-4F5E-B8E0-B83BF1F406DB}"/>
    <cellStyle name="Linked Cell 19 3" xfId="4879" xr:uid="{36C33679-B405-4645-9D4E-8576EED776AE}"/>
    <cellStyle name="Linked Cell 19_Exist Trunk Assets - Ferry" xfId="8726" xr:uid="{AC6B4D0D-DB5F-4250-8C5C-D9B6F3E67AF2}"/>
    <cellStyle name="Linked Cell 2" xfId="1378" xr:uid="{3CEEA257-DFFB-4321-938F-6BAB2A6CE2F5}"/>
    <cellStyle name="Linked Cell 2 2" xfId="4880" xr:uid="{7CDCF470-5DED-46A9-A1AF-BF9E4E8D51AF}"/>
    <cellStyle name="Linked Cell 2 3" xfId="4881" xr:uid="{C1AD37BF-7894-454C-AA93-19480D4DB8DF}"/>
    <cellStyle name="Linked Cell 2_Exist Trunk Assets - Ferry" xfId="8727" xr:uid="{FAFD0F0E-DCFD-4390-90A1-F8ADBF3F5AA0}"/>
    <cellStyle name="Linked Cell 20" xfId="1379" xr:uid="{E2CB7D40-2F80-47F9-BED9-CE16AC509265}"/>
    <cellStyle name="Linked Cell 20 2" xfId="4882" xr:uid="{0AD9292E-6186-426C-A5AF-DC6C18C2B76D}"/>
    <cellStyle name="Linked Cell 20 3" xfId="4883" xr:uid="{82DB41D3-09A5-4D1D-8B16-27F945F9CFE0}"/>
    <cellStyle name="Linked Cell 20_Exist Trunk Assets - Ferry" xfId="8728" xr:uid="{84A3AE07-D516-4A69-A289-6400BA07D549}"/>
    <cellStyle name="Linked Cell 21" xfId="1380" xr:uid="{CA715ADC-1267-4F2E-A531-F75D3A35D23C}"/>
    <cellStyle name="Linked Cell 21 2" xfId="4884" xr:uid="{68CDA8E1-EEE5-4414-9384-1D5BD3E47EAF}"/>
    <cellStyle name="Linked Cell 21 3" xfId="4885" xr:uid="{ED69AE67-FA92-4501-B5FA-C1E1BDBDA220}"/>
    <cellStyle name="Linked Cell 21_Exist Trunk Assets - Ferry" xfId="8729" xr:uid="{1C45A7DC-A50F-4684-94F2-8B5534A417A0}"/>
    <cellStyle name="Linked Cell 22" xfId="1381" xr:uid="{D1FB8497-7B51-4159-83F5-ED73D19EECED}"/>
    <cellStyle name="Linked Cell 22 2" xfId="4886" xr:uid="{9765FF6D-5AD9-4029-A716-09EBF31C1911}"/>
    <cellStyle name="Linked Cell 22 3" xfId="4887" xr:uid="{6E12C957-8D5F-49DD-9243-8A6D6D62B138}"/>
    <cellStyle name="Linked Cell 22_Exist Trunk Assets - Ferry" xfId="8730" xr:uid="{58A84A21-ECA0-45B4-B6C6-B35C81D4E39E}"/>
    <cellStyle name="Linked Cell 23" xfId="1382" xr:uid="{9A4A857C-F445-40D2-A620-C0C02755C5E7}"/>
    <cellStyle name="Linked Cell 23 2" xfId="4888" xr:uid="{AFB67C19-C4BC-48E1-B6E9-F84068AE897F}"/>
    <cellStyle name="Linked Cell 23 3" xfId="4889" xr:uid="{7F5F5C6A-E65A-46AF-A925-90AE57EB0EC2}"/>
    <cellStyle name="Linked Cell 23_Exist Trunk Assets - Ferry" xfId="8731" xr:uid="{ACC4E27C-AE97-4FB1-B664-7A6006A16AFA}"/>
    <cellStyle name="Linked Cell 24" xfId="1383" xr:uid="{9D3E4E7B-DB36-47F2-8B5E-59BFDD0FCC8B}"/>
    <cellStyle name="Linked Cell 24 2" xfId="4890" xr:uid="{196BD88C-B163-45CE-BC5B-8EAA77DA3331}"/>
    <cellStyle name="Linked Cell 24 3" xfId="4891" xr:uid="{9E702570-7FA4-489D-B028-1B1D48150C7D}"/>
    <cellStyle name="Linked Cell 24_Exist Trunk Assets - Ferry" xfId="8732" xr:uid="{84C2FAB0-302D-49D2-8173-46A34BCB4AC7}"/>
    <cellStyle name="Linked Cell 25" xfId="1384" xr:uid="{480B0D0C-6875-4C55-ABFA-EEBBE9193D02}"/>
    <cellStyle name="Linked Cell 25 2" xfId="4892" xr:uid="{5C88C301-9634-4139-8491-585D3DC57CB9}"/>
    <cellStyle name="Linked Cell 25 3" xfId="4893" xr:uid="{D59916F4-E899-421A-A616-8E22EE335668}"/>
    <cellStyle name="Linked Cell 25_Exist Trunk Assets - Ferry" xfId="8733" xr:uid="{C4ECC340-4F65-478F-ABBD-A5BA01269F67}"/>
    <cellStyle name="Linked Cell 26" xfId="1385" xr:uid="{F5B0A976-32C7-4310-B5B9-EC6925F99061}"/>
    <cellStyle name="Linked Cell 26 2" xfId="4894" xr:uid="{49B008B3-9749-432C-90A8-312D71A9BAED}"/>
    <cellStyle name="Linked Cell 26 3" xfId="4895" xr:uid="{30E374E6-D2A8-4850-A32D-D1999B184528}"/>
    <cellStyle name="Linked Cell 26_Exist Trunk Assets - Ferry" xfId="8734" xr:uid="{AA4A217B-2860-47E9-929A-10C52B241E07}"/>
    <cellStyle name="Linked Cell 27" xfId="1386" xr:uid="{E74681D1-3CAA-4F26-A8F7-F729A88F7FBF}"/>
    <cellStyle name="Linked Cell 27 2" xfId="4896" xr:uid="{EB6DED25-79E8-49AA-B77A-DA0B28BFE8B1}"/>
    <cellStyle name="Linked Cell 27 3" xfId="4897" xr:uid="{11160178-4632-4682-AB48-E87E2C8D4751}"/>
    <cellStyle name="Linked Cell 27_Exist Trunk Assets - Ferry" xfId="8735" xr:uid="{B94CBAA5-601A-4425-8240-D3414BD48E0E}"/>
    <cellStyle name="Linked Cell 28" xfId="1387" xr:uid="{A9FBB0DC-A192-4D80-890D-84EF3E3326F3}"/>
    <cellStyle name="Linked Cell 28 2" xfId="4898" xr:uid="{C807515D-9A89-4F7D-A735-2074E4FA0DFB}"/>
    <cellStyle name="Linked Cell 28 3" xfId="4899" xr:uid="{41CDCDD2-7EF3-4DDE-9761-85A2F02D830F}"/>
    <cellStyle name="Linked Cell 28_Exist Trunk Assets - Ferry" xfId="8736" xr:uid="{F95E3BB5-C4BE-46FA-A9E7-E7C3C66C74A8}"/>
    <cellStyle name="Linked Cell 29" xfId="1388" xr:uid="{530DA340-F3C8-40DF-8D05-F2D17DACA0A6}"/>
    <cellStyle name="Linked Cell 29 2" xfId="4900" xr:uid="{06126773-3196-47A8-A793-A365E2E9EF18}"/>
    <cellStyle name="Linked Cell 29 3" xfId="4901" xr:uid="{384B35F9-16C9-46F2-BC26-C82DAA7CA37E}"/>
    <cellStyle name="Linked Cell 29_Exist Trunk Assets - Ferry" xfId="8737" xr:uid="{E04EB48A-81E5-4EE3-B440-55B2E176970E}"/>
    <cellStyle name="Linked Cell 3" xfId="1389" xr:uid="{C14E5953-B1E3-4BD4-B66D-DD96CBC73A26}"/>
    <cellStyle name="Linked Cell 3 2" xfId="4902" xr:uid="{6024F326-E3AD-4E6A-935D-1809D3E87C50}"/>
    <cellStyle name="Linked Cell 3 3" xfId="4903" xr:uid="{F35A28F5-8979-4A8F-B620-6E540F78AD6F}"/>
    <cellStyle name="Linked Cell 3_Exist Trunk Assets - Ferry" xfId="8738" xr:uid="{D3F6293D-8B82-4EFF-A16D-671D63BDC65F}"/>
    <cellStyle name="Linked Cell 30" xfId="1390" xr:uid="{1DD30FBC-AB80-4F56-A1E7-F4361836E156}"/>
    <cellStyle name="Linked Cell 30 2" xfId="4904" xr:uid="{9505194C-5D34-478E-B9BE-11113101CDB8}"/>
    <cellStyle name="Linked Cell 30 3" xfId="4905" xr:uid="{FD9C47A5-4964-4457-A62B-C26CC32CD31A}"/>
    <cellStyle name="Linked Cell 30_Exist Trunk Assets - Ferry" xfId="8739" xr:uid="{AEB46B38-7D6C-4CF3-933D-465A3E9B1CE9}"/>
    <cellStyle name="Linked Cell 31" xfId="1391" xr:uid="{D8A72895-76C1-4E9D-AFCF-827189F41B8E}"/>
    <cellStyle name="Linked Cell 31 2" xfId="4906" xr:uid="{930F8539-DFF7-4012-9020-7447118320B1}"/>
    <cellStyle name="Linked Cell 31 3" xfId="4907" xr:uid="{10155796-8F68-4796-9DCE-8D988271E47A}"/>
    <cellStyle name="Linked Cell 31_Exist Trunk Assets - Ferry" xfId="8740" xr:uid="{5775E090-878B-47DC-BB50-0C9E2FF3F458}"/>
    <cellStyle name="Linked Cell 32" xfId="1392" xr:uid="{A57F4EE1-47DE-4212-8B0D-7E5D49119EEC}"/>
    <cellStyle name="Linked Cell 32 2" xfId="4908" xr:uid="{27AC0B3A-DDB2-4CEB-AA98-FDBD41A56130}"/>
    <cellStyle name="Linked Cell 32 3" xfId="4909" xr:uid="{77BF939A-F20F-4688-8A36-59964091087B}"/>
    <cellStyle name="Linked Cell 32_Exist Trunk Assets - Ferry" xfId="8741" xr:uid="{472C9D66-9152-470C-A8EB-DC158168CE93}"/>
    <cellStyle name="Linked Cell 33" xfId="1393" xr:uid="{B3BABFA6-A66F-42C6-A141-99444BB27E77}"/>
    <cellStyle name="Linked Cell 33 2" xfId="4910" xr:uid="{F628795F-60F3-4A51-AD1A-15A3A4E2D7CE}"/>
    <cellStyle name="Linked Cell 33 3" xfId="4911" xr:uid="{8804A8D3-F428-40EB-B1A0-5D149EC0D253}"/>
    <cellStyle name="Linked Cell 33_Exist Trunk Assets - Ferry" xfId="8742" xr:uid="{4669107B-C4AA-4F7F-B490-17851DFC424A}"/>
    <cellStyle name="Linked Cell 34" xfId="1394" xr:uid="{FF3FE55E-DDF8-4B4F-8360-9075EB9993A7}"/>
    <cellStyle name="Linked Cell 34 2" xfId="4912" xr:uid="{CD0D0CFA-A01F-41D9-A165-5A2C54F1E541}"/>
    <cellStyle name="Linked Cell 34 3" xfId="4913" xr:uid="{1AA53981-6404-4161-A2C5-8990C335C77A}"/>
    <cellStyle name="Linked Cell 34_Exist Trunk Assets - Ferry" xfId="8743" xr:uid="{86FD7187-60CD-4A55-8361-2C8E13846C66}"/>
    <cellStyle name="Linked Cell 35" xfId="1395" xr:uid="{E06F2816-718B-4A6A-B08B-4664A2AD0150}"/>
    <cellStyle name="Linked Cell 35 2" xfId="4914" xr:uid="{C233C3BF-E242-4C62-AB66-DAA820EC875B}"/>
    <cellStyle name="Linked Cell 35 3" xfId="4915" xr:uid="{95AA3AD7-2E6A-4CF2-9F72-50437E1DC344}"/>
    <cellStyle name="Linked Cell 35_Exist Trunk Assets - Ferry" xfId="8744" xr:uid="{E7AB69FC-4AB8-4021-8AAF-58FD4A3B96CA}"/>
    <cellStyle name="Linked Cell 36" xfId="1396" xr:uid="{3E6E7CB9-97D2-4F4C-82FA-2A67B041048E}"/>
    <cellStyle name="Linked Cell 36 2" xfId="4916" xr:uid="{AC721F93-63F6-4420-A22C-0754D49B4204}"/>
    <cellStyle name="Linked Cell 36 3" xfId="4917" xr:uid="{8A757848-CFD7-4A92-860D-792DAC37FFC1}"/>
    <cellStyle name="Linked Cell 36_Exist Trunk Assets - Ferry" xfId="8745" xr:uid="{FEDCB142-E7BD-4391-921E-B3E22B5B80D4}"/>
    <cellStyle name="Linked Cell 37" xfId="1397" xr:uid="{E57F6E8F-A20F-47D5-AFFD-ECADAC8C217A}"/>
    <cellStyle name="Linked Cell 37 2" xfId="4918" xr:uid="{73DD6052-6E6F-4A2C-AF6F-3F4E9FB99376}"/>
    <cellStyle name="Linked Cell 37 3" xfId="4919" xr:uid="{E4F29BFF-27EA-4676-8B56-18E4EA349C20}"/>
    <cellStyle name="Linked Cell 37_Exist Trunk Assets - Ferry" xfId="8746" xr:uid="{7F05612A-7796-40FE-98EA-54637874B0C6}"/>
    <cellStyle name="Linked Cell 4" xfId="1398" xr:uid="{ED471DF2-BE8B-4317-B3B6-367A3EFF8E23}"/>
    <cellStyle name="Linked Cell 4 2" xfId="4920" xr:uid="{AFA5F702-328B-42C5-B4BC-37486EE01FD5}"/>
    <cellStyle name="Linked Cell 4 3" xfId="4921" xr:uid="{92692A42-86A0-431B-91AF-3BA2AE12B167}"/>
    <cellStyle name="Linked Cell 4_Exist Trunk Assets - Ferry" xfId="8747" xr:uid="{2EE46510-2177-4A22-9540-3354C49825C1}"/>
    <cellStyle name="Linked Cell 5" xfId="1399" xr:uid="{94DE613C-115D-405A-AB9B-490A3B98D990}"/>
    <cellStyle name="Linked Cell 5 2" xfId="4922" xr:uid="{206A6F45-6A17-4EB6-8368-02F6F7B9D104}"/>
    <cellStyle name="Linked Cell 5 3" xfId="4923" xr:uid="{1A69953B-3249-4316-9707-02B204E84B07}"/>
    <cellStyle name="Linked Cell 5_Exist Trunk Assets - Ferry" xfId="8748" xr:uid="{B134EE9B-AA23-4F97-9383-5AAEF1A0D679}"/>
    <cellStyle name="Linked Cell 6" xfId="1400" xr:uid="{066ADE91-AC4D-4554-AF43-5D5CC6482640}"/>
    <cellStyle name="Linked Cell 6 2" xfId="4924" xr:uid="{305BC484-10E8-4D96-B833-EE4E322E1FFF}"/>
    <cellStyle name="Linked Cell 6 3" xfId="4925" xr:uid="{C052FA28-38C5-4379-ABC0-E9C6B2301603}"/>
    <cellStyle name="Linked Cell 6_Exist Trunk Assets - Ferry" xfId="8749" xr:uid="{A823E176-F961-4EA6-8B5D-D7145CFA0A0C}"/>
    <cellStyle name="Linked Cell 7" xfId="1401" xr:uid="{D6A8C26A-9132-437C-94F9-4F3EFBFAEFA6}"/>
    <cellStyle name="Linked Cell 7 2" xfId="4926" xr:uid="{85AE32A7-C27E-42A4-83B4-83FD1EA83414}"/>
    <cellStyle name="Linked Cell 7 3" xfId="4927" xr:uid="{F8D78B3F-DB1D-43B9-AE80-80A93F05CDD9}"/>
    <cellStyle name="Linked Cell 7_Exist Trunk Assets - Ferry" xfId="8750" xr:uid="{78B58F26-6576-40E7-BE4D-EEF48E78208B}"/>
    <cellStyle name="Linked Cell 8" xfId="1402" xr:uid="{3AF8B645-8821-4E22-BCD3-975DC5324E14}"/>
    <cellStyle name="Linked Cell 8 2" xfId="4928" xr:uid="{B26078B8-1F77-4730-9D95-37133EF5C03C}"/>
    <cellStyle name="Linked Cell 8 3" xfId="4929" xr:uid="{C051DFB2-DC28-4C35-8CD8-87D30DC55E5F}"/>
    <cellStyle name="Linked Cell 8_Exist Trunk Assets - Ferry" xfId="8751" xr:uid="{10093260-5CAE-40CD-BB3C-EDD17A6B578C}"/>
    <cellStyle name="Linked Cell 9" xfId="1403" xr:uid="{13E39530-F735-4F8E-984A-472D9018BAD2}"/>
    <cellStyle name="Linked Cell 9 2" xfId="4930" xr:uid="{077EEEC3-5BEF-4178-AF18-01313547A912}"/>
    <cellStyle name="Linked Cell 9 3" xfId="4931" xr:uid="{190B1D07-5A45-4554-BE95-2530C8889F42}"/>
    <cellStyle name="Linked Cell 9_Exist Trunk Assets - Ferry" xfId="8752" xr:uid="{8B1DFC40-677C-45B7-93C2-52471AADD2A7}"/>
    <cellStyle name="List Price" xfId="2143" xr:uid="{B873CD88-3CB6-4831-9471-F5861F0595E8}"/>
    <cellStyle name="List Price 2" xfId="2511" xr:uid="{39C9DE54-3E3F-4C41-853B-CEC06C3E19E4}"/>
    <cellStyle name="List Price 2 2" xfId="4932" xr:uid="{A9620CBA-D44C-4A32-8DAB-95A70F6955DB}"/>
    <cellStyle name="List Price 2 3" xfId="4933" xr:uid="{8AA677B0-B78A-421E-B425-A82D00CF34A9}"/>
    <cellStyle name="List Price 2_Exist Trunk Assets - Ferry" xfId="8754" xr:uid="{6544F72D-B63B-4F39-A619-4F3F6DE8B71D}"/>
    <cellStyle name="List Price 3" xfId="4934" xr:uid="{3E569CED-7065-4E1C-8183-B4B903310E17}"/>
    <cellStyle name="List Price 4" xfId="4935" xr:uid="{D5F917AF-9A7E-4324-B55D-80EA27284146}"/>
    <cellStyle name="List Price_Exist Trunk Assets - Ferry" xfId="8753" xr:uid="{10E29ED8-9A86-4ACB-BAB3-FA2859A4C7E4}"/>
    <cellStyle name="Malý nadpis" xfId="2144" xr:uid="{DF5977B6-8EEC-4088-ADB9-4009BCE2B365}"/>
    <cellStyle name="Malý nadpis 2" xfId="4936" xr:uid="{A174E8EA-4191-4DF6-B43A-E95001AEDD16}"/>
    <cellStyle name="Malý nadpis 3" xfId="4937" xr:uid="{023680D9-207C-434F-97A3-6E5F5B7A9304}"/>
    <cellStyle name="Malý nadpis_Exist Trunk Assets - Ferry" xfId="8755" xr:uid="{74E1131B-2C8A-42EE-90ED-CEC46B4F939A}"/>
    <cellStyle name="meny_laroux" xfId="2145" xr:uid="{A25FB4B5-4163-4E3B-A20D-15B515F72654}"/>
    <cellStyle name="miny_laroux" xfId="2146" xr:uid="{2CF16C69-129C-48AF-B7A9-C50FA28FDEC4}"/>
    <cellStyle name="Model Name" xfId="2147" xr:uid="{86C7AF0C-8319-4993-9E4E-8116AD075A66}"/>
    <cellStyle name="Model Name 2" xfId="4938" xr:uid="{B30ED449-5E15-44D1-AC38-4577A462F5CA}"/>
    <cellStyle name="Model Name 3" xfId="4939" xr:uid="{5214AD81-A691-4E0B-924C-5344E2825E86}"/>
    <cellStyle name="Model Name_Exist Trunk Assets - Ferry" xfId="8756" xr:uid="{270F0567-B63D-4BE1-AA8A-1DB1F0538BD3}"/>
    <cellStyle name="Neutral 10" xfId="1404" xr:uid="{CE8B01F1-25CD-4E3A-AC14-869E45F83020}"/>
    <cellStyle name="Neutral 10 2" xfId="4940" xr:uid="{DEFAC3B1-D5BA-40F3-9779-36146D5BDAC9}"/>
    <cellStyle name="Neutral 10 3" xfId="4941" xr:uid="{0B0E5AB4-C801-47CA-9FF6-C0A858D8AEBC}"/>
    <cellStyle name="Neutral 10_Exist Trunk Assets - Ferry" xfId="8757" xr:uid="{1C8D8817-145D-4715-B6D7-05A60E550E69}"/>
    <cellStyle name="Neutral 11" xfId="1405" xr:uid="{B6D75CCC-E20D-427A-A7BF-B5AE1B3F05B2}"/>
    <cellStyle name="Neutral 11 2" xfId="4942" xr:uid="{756A4846-C146-404D-A5D3-8DA60F6CCC0F}"/>
    <cellStyle name="Neutral 11 3" xfId="4943" xr:uid="{E1C1B7E7-8B8A-4AC6-8809-43C97CEB8193}"/>
    <cellStyle name="Neutral 11_Exist Trunk Assets - Ferry" xfId="8758" xr:uid="{AA545CC9-FC90-4353-AAFC-D8B92F415A5F}"/>
    <cellStyle name="Neutral 12" xfId="1406" xr:uid="{0535DDB2-84B2-4A1D-B702-F80B966F033F}"/>
    <cellStyle name="Neutral 12 2" xfId="4944" xr:uid="{F56909F9-5F42-4B3E-B05A-FF3C23D2AFF4}"/>
    <cellStyle name="Neutral 12 3" xfId="4945" xr:uid="{342CD6AC-81CF-44E2-A4BF-B8EE0E972627}"/>
    <cellStyle name="Neutral 12_Exist Trunk Assets - Ferry" xfId="8759" xr:uid="{89EE155F-0F97-48CA-90BF-F34BA0213806}"/>
    <cellStyle name="Neutral 13" xfId="1407" xr:uid="{C9264D84-471B-476F-91FD-5A71EE4F5294}"/>
    <cellStyle name="Neutral 13 2" xfId="4946" xr:uid="{B9F5A70A-B5EC-4627-A37B-DA9CA38DE3D8}"/>
    <cellStyle name="Neutral 13 3" xfId="4947" xr:uid="{B955B1DA-288D-4DEB-8ACE-D238FBD5750D}"/>
    <cellStyle name="Neutral 13_Exist Trunk Assets - Ferry" xfId="8760" xr:uid="{A7A9BA58-D055-4E9D-965E-7FE0B10487F6}"/>
    <cellStyle name="Neutral 14" xfId="1408" xr:uid="{E0611791-3ECD-42C7-B019-BABF00413529}"/>
    <cellStyle name="Neutral 14 2" xfId="4948" xr:uid="{C385B534-9A64-4002-910B-D127E3C03991}"/>
    <cellStyle name="Neutral 14 3" xfId="4949" xr:uid="{DC21B4A0-E1AC-431A-A151-BC05BC5BB0BC}"/>
    <cellStyle name="Neutral 14_Exist Trunk Assets - Ferry" xfId="8761" xr:uid="{B5BEDB97-45CB-4D9C-8042-D5A97ABF189A}"/>
    <cellStyle name="Neutral 15" xfId="1409" xr:uid="{2FD2AD05-43C7-4895-B6CE-6DEF988D7E3F}"/>
    <cellStyle name="Neutral 15 2" xfId="4950" xr:uid="{5EB2E00A-3651-45EF-B63F-F290BC4A3D55}"/>
    <cellStyle name="Neutral 15 3" xfId="4951" xr:uid="{B8AE958A-245B-4C48-89C1-3EAB110ED475}"/>
    <cellStyle name="Neutral 15_Exist Trunk Assets - Ferry" xfId="8762" xr:uid="{D2211789-DC5B-47AF-900D-A327F328A0A7}"/>
    <cellStyle name="Neutral 16" xfId="1410" xr:uid="{9DB3B717-C21B-4992-8162-D4C2D01C36C6}"/>
    <cellStyle name="Neutral 16 2" xfId="4952" xr:uid="{F0C05FA1-50DB-4D2B-AF82-08D2566D0A00}"/>
    <cellStyle name="Neutral 16 3" xfId="4953" xr:uid="{62B31410-B7F7-43AB-AD0A-8389A976C135}"/>
    <cellStyle name="Neutral 16_Exist Trunk Assets - Ferry" xfId="8763" xr:uid="{0E96A8D4-8ABA-45DB-BAA9-8EDAF94E715E}"/>
    <cellStyle name="Neutral 17" xfId="1411" xr:uid="{26053FC5-EBE8-428A-BA28-CCD6CC1B19A4}"/>
    <cellStyle name="Neutral 17 2" xfId="4954" xr:uid="{A6FC245B-8EC1-4C81-8F9F-B8FB62159EF4}"/>
    <cellStyle name="Neutral 17 3" xfId="4955" xr:uid="{834976DE-2F4A-4F8C-998C-FE729FB2B1B4}"/>
    <cellStyle name="Neutral 17_Exist Trunk Assets - Ferry" xfId="8764" xr:uid="{AB0A72A2-D291-467F-A333-EC56C1BDFBFA}"/>
    <cellStyle name="Neutral 18" xfId="1412" xr:uid="{F511715C-0060-45F1-879E-CE9F43079A07}"/>
    <cellStyle name="Neutral 18 2" xfId="4956" xr:uid="{42071A28-A988-44EF-90E7-721C7CD6CC63}"/>
    <cellStyle name="Neutral 18 3" xfId="4957" xr:uid="{D0AD12EE-41A7-4182-8B99-A20FB789F417}"/>
    <cellStyle name="Neutral 18_Exist Trunk Assets - Ferry" xfId="8765" xr:uid="{D669324B-4DC0-4E6D-9F8B-A3759F7B9E87}"/>
    <cellStyle name="Neutral 19" xfId="1413" xr:uid="{540A8E56-E3BD-44CB-A4FE-AEFA77CA2B22}"/>
    <cellStyle name="Neutral 19 2" xfId="4958" xr:uid="{1AF9D952-E12C-4469-BA73-4E2F6C240768}"/>
    <cellStyle name="Neutral 19 3" xfId="4959" xr:uid="{4F876534-93A4-45A9-BB0C-1AEDF2348A03}"/>
    <cellStyle name="Neutral 19_Exist Trunk Assets - Ferry" xfId="8766" xr:uid="{9EEFAAC4-A012-45F1-BDC8-721AF6A278E2}"/>
    <cellStyle name="Neutral 2" xfId="1414" xr:uid="{909891B4-E8D4-4926-8250-DAB829272679}"/>
    <cellStyle name="Neutral 2 2" xfId="4960" xr:uid="{F02038C5-EC18-473E-B828-23F1515FC09C}"/>
    <cellStyle name="Neutral 2 3" xfId="4961" xr:uid="{ABB52DAA-549A-4CD7-B2C0-9A5D9738D84C}"/>
    <cellStyle name="Neutral 2_Exist Trunk Assets - Ferry" xfId="8767" xr:uid="{9F2BA623-F466-4778-BEF9-43EE10FA77DC}"/>
    <cellStyle name="Neutral 20" xfId="1415" xr:uid="{046BFB74-2A8D-4316-BBD7-2D20262B3478}"/>
    <cellStyle name="Neutral 20 2" xfId="4962" xr:uid="{B591754A-0DEB-4235-BEB3-DDDF1A0B1316}"/>
    <cellStyle name="Neutral 20 3" xfId="4963" xr:uid="{1D828DE6-F481-4EE3-82FD-22411917D439}"/>
    <cellStyle name="Neutral 20_Exist Trunk Assets - Ferry" xfId="8768" xr:uid="{A33AE2E7-04C3-4CA4-AD42-B82F964C5D6B}"/>
    <cellStyle name="Neutral 21" xfId="1416" xr:uid="{4BE192FF-2A2E-481E-B406-AE18AF9763BA}"/>
    <cellStyle name="Neutral 21 2" xfId="4964" xr:uid="{8ACC2123-100D-4CC8-88D4-10252D411BA6}"/>
    <cellStyle name="Neutral 21 3" xfId="4965" xr:uid="{BF03DB59-137E-4C53-AA6A-8ED1B85B2F16}"/>
    <cellStyle name="Neutral 21_Exist Trunk Assets - Ferry" xfId="8769" xr:uid="{0D027BB0-05A9-4D17-A9CB-6B4EAC8E05F1}"/>
    <cellStyle name="Neutral 22" xfId="1417" xr:uid="{840151BD-5FA0-494C-B73B-BB44EBFA9CFB}"/>
    <cellStyle name="Neutral 22 2" xfId="4966" xr:uid="{8BC394BE-633E-47F5-B428-055349342EE9}"/>
    <cellStyle name="Neutral 22 3" xfId="4967" xr:uid="{D18C1E76-860D-40F3-A9DA-8AE2CFC4D471}"/>
    <cellStyle name="Neutral 22_Exist Trunk Assets - Ferry" xfId="8770" xr:uid="{1D62E07E-7107-4117-9304-78EDE742F249}"/>
    <cellStyle name="Neutral 23" xfId="1418" xr:uid="{B73662E8-3D3B-4525-AB2F-07736ECD2C0F}"/>
    <cellStyle name="Neutral 23 2" xfId="4968" xr:uid="{E47A823A-8DB5-4BB4-8A67-B0AD4E765DDD}"/>
    <cellStyle name="Neutral 23 3" xfId="4969" xr:uid="{42B3B929-39D0-437F-A13B-9B68D35E0C21}"/>
    <cellStyle name="Neutral 23_Exist Trunk Assets - Ferry" xfId="8771" xr:uid="{8B5E4DB0-8945-4528-9599-D4AD8EC17E6C}"/>
    <cellStyle name="Neutral 24" xfId="1419" xr:uid="{5423BB92-75A5-46E6-9654-28159D109DA7}"/>
    <cellStyle name="Neutral 24 2" xfId="4970" xr:uid="{28A80A2D-8630-4433-AA92-429B2CEC89DA}"/>
    <cellStyle name="Neutral 24 3" xfId="4971" xr:uid="{B232CC47-CB88-4047-ADE2-00EC5FF83ACF}"/>
    <cellStyle name="Neutral 24_Exist Trunk Assets - Ferry" xfId="8772" xr:uid="{445299DE-5DFA-4C39-9BF2-17760F09203A}"/>
    <cellStyle name="Neutral 25" xfId="1420" xr:uid="{BC4DC743-0D2F-4600-9305-226B918C8835}"/>
    <cellStyle name="Neutral 25 2" xfId="4972" xr:uid="{29DB4479-868B-4551-9316-02491F470D14}"/>
    <cellStyle name="Neutral 25 3" xfId="4973" xr:uid="{D9FB1B52-B45D-4FC4-BB48-6ECE350060E0}"/>
    <cellStyle name="Neutral 25_Exist Trunk Assets - Ferry" xfId="8773" xr:uid="{CDFFEBD3-43C0-434C-826A-3DF528F0E992}"/>
    <cellStyle name="Neutral 26" xfId="1421" xr:uid="{BF3EE9BC-4381-4963-873A-778C24D16AD3}"/>
    <cellStyle name="Neutral 26 2" xfId="4974" xr:uid="{14973B4A-77B2-47FE-BD8D-38B48FF12846}"/>
    <cellStyle name="Neutral 26 3" xfId="4975" xr:uid="{98C95065-8C12-4FF3-A2D3-C5DAFA47617D}"/>
    <cellStyle name="Neutral 26_Exist Trunk Assets - Ferry" xfId="8774" xr:uid="{8493BA0E-ACE1-4D29-AB20-FAADEA062145}"/>
    <cellStyle name="Neutral 27" xfId="1422" xr:uid="{7FB42C83-72F6-422F-9096-2CA76F13E79A}"/>
    <cellStyle name="Neutral 27 2" xfId="4976" xr:uid="{91D45E52-EAB0-4337-AF6E-CAD74108F584}"/>
    <cellStyle name="Neutral 27 3" xfId="4977" xr:uid="{90BFD2D2-5B2C-4647-B0AC-E9AF361AEBB7}"/>
    <cellStyle name="Neutral 27_Exist Trunk Assets - Ferry" xfId="8775" xr:uid="{A2116546-B93A-44FD-98F3-9BC908720697}"/>
    <cellStyle name="Neutral 28" xfId="1423" xr:uid="{1B92D6F6-2BC5-47F1-81A5-33A21797C118}"/>
    <cellStyle name="Neutral 28 2" xfId="4978" xr:uid="{346DDA8B-B1A9-4A65-9C62-139592E26B7D}"/>
    <cellStyle name="Neutral 28 3" xfId="4979" xr:uid="{A2234520-E093-430C-BD19-C216A45E1832}"/>
    <cellStyle name="Neutral 28_Exist Trunk Assets - Ferry" xfId="8776" xr:uid="{03847827-00B7-4647-9A46-9CA1BAF1A971}"/>
    <cellStyle name="Neutral 29" xfId="1424" xr:uid="{607B95B9-56A8-43A8-91B7-60DB898FD3F3}"/>
    <cellStyle name="Neutral 29 2" xfId="4980" xr:uid="{CCEB5C67-0D63-48C8-90C3-7C1F212A9D64}"/>
    <cellStyle name="Neutral 29 3" xfId="4981" xr:uid="{E3D12302-4281-463F-B84F-42BBE0DBCAB8}"/>
    <cellStyle name="Neutral 29_Exist Trunk Assets - Ferry" xfId="8777" xr:uid="{E2FBAC73-E855-4179-A0C0-992C8902D689}"/>
    <cellStyle name="Neutral 3" xfId="1425" xr:uid="{9F469B81-DEC7-454C-9812-4EE2021121CE}"/>
    <cellStyle name="Neutral 3 2" xfId="4982" xr:uid="{AEC02480-637E-4498-AEA4-73700EA2D8F6}"/>
    <cellStyle name="Neutral 3 3" xfId="4983" xr:uid="{D7901F7E-32DC-44FD-93D4-2DE7EF833706}"/>
    <cellStyle name="Neutral 3_Exist Trunk Assets - Ferry" xfId="8778" xr:uid="{24FAF0C9-A457-4020-8145-EB7F99EEF093}"/>
    <cellStyle name="Neutral 30" xfId="1426" xr:uid="{173C4580-C56B-4A61-8E12-277D26CE92C4}"/>
    <cellStyle name="Neutral 30 2" xfId="4984" xr:uid="{9D2D74B0-74BC-4EFE-B058-B981E6D383B5}"/>
    <cellStyle name="Neutral 30 3" xfId="4985" xr:uid="{DE8E3A8C-A04B-461D-90D4-5621961ECA05}"/>
    <cellStyle name="Neutral 30_Exist Trunk Assets - Ferry" xfId="8779" xr:uid="{92E33A00-FCDB-4BBD-B36C-0126782275EB}"/>
    <cellStyle name="Neutral 31" xfId="1427" xr:uid="{EF7D2AA4-80E3-4DB2-86C5-51032B5DD71A}"/>
    <cellStyle name="Neutral 31 2" xfId="4986" xr:uid="{C9F8D8D5-66A1-41C3-978F-58E9A325A0D3}"/>
    <cellStyle name="Neutral 31 3" xfId="4987" xr:uid="{C7579FCE-A7CA-4223-B9AF-C630E28ED117}"/>
    <cellStyle name="Neutral 31_Exist Trunk Assets - Ferry" xfId="8780" xr:uid="{4CB3FF72-6452-4CCE-90A7-DB49EC0C885F}"/>
    <cellStyle name="Neutral 32" xfId="1428" xr:uid="{E10286A0-73A6-411E-B4A2-46250E87BE8B}"/>
    <cellStyle name="Neutral 32 2" xfId="4988" xr:uid="{75FCA230-63F6-4D67-9CF8-49B5D46DB73C}"/>
    <cellStyle name="Neutral 32 3" xfId="4989" xr:uid="{98199B46-B8A9-45CC-9ED0-BDACF945AE36}"/>
    <cellStyle name="Neutral 32_Exist Trunk Assets - Ferry" xfId="8781" xr:uid="{F326C285-DA89-4EB5-A54A-DE4F6A367040}"/>
    <cellStyle name="Neutral 33" xfId="1429" xr:uid="{E55331A4-18B3-4B8A-A74F-B264A1CCB573}"/>
    <cellStyle name="Neutral 33 2" xfId="4990" xr:uid="{C9FEC167-4AF3-415A-9D69-76DBEB7C0520}"/>
    <cellStyle name="Neutral 33 3" xfId="4991" xr:uid="{053E975E-2A90-4A53-B25D-2C5120320CD3}"/>
    <cellStyle name="Neutral 33_Exist Trunk Assets - Ferry" xfId="8782" xr:uid="{75C04DBE-F4FB-426F-BE91-E1AD156F8BE2}"/>
    <cellStyle name="Neutral 34" xfId="1430" xr:uid="{5CE1C4DA-4AA3-461D-BC31-36EF2EC1C0D6}"/>
    <cellStyle name="Neutral 34 2" xfId="4992" xr:uid="{4C400CB2-3307-4947-B025-111B0BD85489}"/>
    <cellStyle name="Neutral 34 3" xfId="4993" xr:uid="{97BDAB25-7C1C-48AB-B188-322F2367CE0C}"/>
    <cellStyle name="Neutral 34_Exist Trunk Assets - Ferry" xfId="8783" xr:uid="{6329BECE-84C3-4609-B858-0993FA48E3C6}"/>
    <cellStyle name="Neutral 35" xfId="1431" xr:uid="{B24569D2-E4A4-42E0-87F7-2D6DBEF92679}"/>
    <cellStyle name="Neutral 35 2" xfId="4994" xr:uid="{0343AF21-FBA4-445D-BE8E-52084D1A7D42}"/>
    <cellStyle name="Neutral 35 3" xfId="4995" xr:uid="{CD19C151-DE27-48AE-A683-74763F8C18B5}"/>
    <cellStyle name="Neutral 35_Exist Trunk Assets - Ferry" xfId="8784" xr:uid="{09B2E84B-791C-4710-AFCD-2836FDB5083E}"/>
    <cellStyle name="Neutral 36" xfId="1432" xr:uid="{E8A5E946-F0FF-4F8E-9152-9DAEDA5744D3}"/>
    <cellStyle name="Neutral 36 2" xfId="4996" xr:uid="{78273AB1-74E8-4465-84AB-6F822D3C13EB}"/>
    <cellStyle name="Neutral 36 3" xfId="4997" xr:uid="{37B65C9B-D392-4CFE-90C1-85527598AD33}"/>
    <cellStyle name="Neutral 36_Exist Trunk Assets - Ferry" xfId="8785" xr:uid="{733AB5DC-68FA-41E8-A5C0-71DF8C8701F2}"/>
    <cellStyle name="Neutral 37" xfId="1433" xr:uid="{9C7AC7BD-D2B4-4955-8A20-90183D578720}"/>
    <cellStyle name="Neutral 37 2" xfId="4998" xr:uid="{64C4AFA9-4FE6-4B21-8993-6C6BC25461C5}"/>
    <cellStyle name="Neutral 37 3" xfId="4999" xr:uid="{1938477C-CD8D-4A08-A86C-D542E5B198FF}"/>
    <cellStyle name="Neutral 37_Exist Trunk Assets - Ferry" xfId="8786" xr:uid="{9BF86F8A-8C37-4386-8CA1-699131AB8031}"/>
    <cellStyle name="Neutral 4" xfId="1434" xr:uid="{50D0F9F9-4EC4-4EBE-945F-0132E0A6E0D1}"/>
    <cellStyle name="Neutral 4 2" xfId="5000" xr:uid="{D16CE354-2AA4-407D-8323-508456474761}"/>
    <cellStyle name="Neutral 4 3" xfId="5001" xr:uid="{63BE5638-60E0-48C0-90F6-C1653C79013D}"/>
    <cellStyle name="Neutral 4_Exist Trunk Assets - Ferry" xfId="8787" xr:uid="{5BAE98C1-0B8F-4DB4-A7A1-25F5932001BC}"/>
    <cellStyle name="Neutral 5" xfId="1435" xr:uid="{B69A6C70-C636-4495-9BAC-6201F5F166D1}"/>
    <cellStyle name="Neutral 5 2" xfId="5002" xr:uid="{55490363-C728-4E8A-89FE-ABAE2BB52519}"/>
    <cellStyle name="Neutral 5 3" xfId="5003" xr:uid="{522A2EAC-C8D2-4327-B04B-CEB01AA9487B}"/>
    <cellStyle name="Neutral 5_Exist Trunk Assets - Ferry" xfId="8788" xr:uid="{27B2894E-29DF-4D5E-88AF-731089CBE1D1}"/>
    <cellStyle name="Neutral 6" xfId="1436" xr:uid="{4CF87D81-CAED-4C87-8E74-222811E000DC}"/>
    <cellStyle name="Neutral 6 2" xfId="5004" xr:uid="{D2C9BBDC-A0C4-4F31-B2C4-BFCDDA6E5AC5}"/>
    <cellStyle name="Neutral 6 3" xfId="5005" xr:uid="{F501BCEC-246D-494F-9C58-21F44FC175AB}"/>
    <cellStyle name="Neutral 6_Exist Trunk Assets - Ferry" xfId="8789" xr:uid="{53E78A20-1851-44EB-A8AF-61FA3601163E}"/>
    <cellStyle name="Neutral 7" xfId="1437" xr:uid="{856B15D7-237B-4B49-8714-0AE55A4551CE}"/>
    <cellStyle name="Neutral 7 2" xfId="5006" xr:uid="{7B2FBB94-714E-4C31-B64E-82953655AF1B}"/>
    <cellStyle name="Neutral 7 3" xfId="5007" xr:uid="{0ABD7683-870F-4CB8-A25A-CC4D7FCDFDEF}"/>
    <cellStyle name="Neutral 7_Exist Trunk Assets - Ferry" xfId="8790" xr:uid="{9C2AC148-C590-40A5-8808-33989E0397BD}"/>
    <cellStyle name="Neutral 8" xfId="1438" xr:uid="{77DC0369-76D7-41FB-9A1B-5CA6CB34E032}"/>
    <cellStyle name="Neutral 8 2" xfId="5008" xr:uid="{C8AE7957-7B74-4C3F-B9D2-5FDBC9931185}"/>
    <cellStyle name="Neutral 8 3" xfId="5009" xr:uid="{314DF41F-F539-4793-AB2D-2CA6AE1C67BD}"/>
    <cellStyle name="Neutral 8_Exist Trunk Assets - Ferry" xfId="8791" xr:uid="{EE0D64C8-A0EF-44D9-A769-E6C8760F004F}"/>
    <cellStyle name="Neutral 9" xfId="1439" xr:uid="{A65074D1-96B0-4634-A46E-229E19DFFA75}"/>
    <cellStyle name="Neutral 9 2" xfId="5010" xr:uid="{44970FC2-5EB7-43A1-BFA8-286456F9E1DA}"/>
    <cellStyle name="Neutral 9 3" xfId="5011" xr:uid="{16041799-7D6A-4CD5-8EDC-421B77A9A9F2}"/>
    <cellStyle name="Neutral 9_Exist Trunk Assets - Ferry" xfId="8792" xr:uid="{9AB2AA14-F78E-4829-86D7-92A4C392FBA8}"/>
    <cellStyle name="Normal" xfId="0" builtinId="0"/>
    <cellStyle name="Normal  - Bold, Underline" xfId="2148" xr:uid="{8ED427A0-2C8A-4785-9D09-0BE44D185714}"/>
    <cellStyle name="Normal  - Bold, Underline 2" xfId="5012" xr:uid="{E6228650-92E1-4A86-96CA-3721FE0EC74D}"/>
    <cellStyle name="Normal  - Bold, Underline 3" xfId="5013" xr:uid="{B56FD95D-CA37-4BC4-AFCA-93006BD5B217}"/>
    <cellStyle name="Normal  - Bold, Underline_Exist Trunk Assets - Ferry" xfId="8793" xr:uid="{F6A99430-ED01-4858-91E2-9C09448FEAD0}"/>
    <cellStyle name="Normal - Bold" xfId="2149" xr:uid="{EB647CAC-8D67-4C3B-95ED-5FC00555B9A8}"/>
    <cellStyle name="Normal - Bold 2" xfId="5014" xr:uid="{26E96B17-769E-4247-A5F1-F1C7DEDDBF59}"/>
    <cellStyle name="Normal - Bold 3" xfId="5015" xr:uid="{9A40E63E-CA25-461B-BBD7-BC4ADC5356A8}"/>
    <cellStyle name="Normal - Bold_Exist Trunk Assets - Ferry" xfId="8794" xr:uid="{8A163E64-D9AD-4303-94C2-33E292980861}"/>
    <cellStyle name="Normal - Style1" xfId="2150" xr:uid="{5B78624B-1A36-45F1-AA31-17A115E4D4B4}"/>
    <cellStyle name="Normal - Style1 10" xfId="2151" xr:uid="{C74740D0-CD57-4EB7-8D31-6EC2C3239C3E}"/>
    <cellStyle name="Normal - Style1 10 2" xfId="5016" xr:uid="{CA1E191B-9CE6-436A-B3E3-D57A013BDE30}"/>
    <cellStyle name="Normal - Style1 10 3" xfId="5017" xr:uid="{3C8B9513-B82E-4DA9-A269-7473E5A31175}"/>
    <cellStyle name="Normal - Style1 10_Exist Trunk Assets - Ferry" xfId="8796" xr:uid="{2B3C7E00-1F4B-4A04-8D35-65607BD1A1D6}"/>
    <cellStyle name="Normal - Style1 11" xfId="2152" xr:uid="{37D066EE-AB11-4CBF-AC6A-5E3AD7328BA2}"/>
    <cellStyle name="Normal - Style1 11 2" xfId="5018" xr:uid="{2AC4B975-D8A0-4EDB-B683-71D69823B719}"/>
    <cellStyle name="Normal - Style1 11 3" xfId="5019" xr:uid="{71FFC1FC-9FAC-4897-9BC3-9F54D02156C5}"/>
    <cellStyle name="Normal - Style1 11_Exist Trunk Assets - Ferry" xfId="8797" xr:uid="{CEA38C8B-9683-497C-AECD-CA908F4FE716}"/>
    <cellStyle name="Normal - Style1 12" xfId="5020" xr:uid="{B103612C-D6B6-4563-A4FA-76DF0B34ED58}"/>
    <cellStyle name="Normal - Style1 13" xfId="5021" xr:uid="{DC095744-539F-4EF6-B5EE-2849B754D99D}"/>
    <cellStyle name="Normal - Style1 2" xfId="2153" xr:uid="{CD0AB004-9449-44B2-AFB9-144C8925659E}"/>
    <cellStyle name="Normal - Style1 2 2" xfId="5022" xr:uid="{EA83E303-A962-4F11-9C9E-8D7392C69863}"/>
    <cellStyle name="Normal - Style1 2 3" xfId="5023" xr:uid="{A3A7BBA8-BB72-4674-B854-22CA2CC39B94}"/>
    <cellStyle name="Normal - Style1 2_Exist Trunk Assets - Ferry" xfId="8798" xr:uid="{63E33A41-07B9-4C30-A43A-82FB67239511}"/>
    <cellStyle name="Normal - Style1 3" xfId="2154" xr:uid="{28789325-FCA8-4C75-A8A6-945A89D937B2}"/>
    <cellStyle name="Normal - Style1 3 2" xfId="5024" xr:uid="{65DD2020-0225-4F13-8BBC-BA6E9F2F5E75}"/>
    <cellStyle name="Normal - Style1 3 3" xfId="5025" xr:uid="{2B203FBF-EFAA-4CD1-94B3-85E50B318F71}"/>
    <cellStyle name="Normal - Style1 3_Exist Trunk Assets - Ferry" xfId="8799" xr:uid="{0F0FCDB3-069D-43B4-A57E-5998187B9355}"/>
    <cellStyle name="Normal - Style1 4" xfId="2155" xr:uid="{A484AB41-9A73-4A44-858F-B44EC5D14303}"/>
    <cellStyle name="Normal - Style1 4 2" xfId="5026" xr:uid="{B4B14E19-BFE8-42E4-B94D-506477A1AC1C}"/>
    <cellStyle name="Normal - Style1 4 3" xfId="5027" xr:uid="{5987F44D-7B64-445B-B8E9-847D979A8D77}"/>
    <cellStyle name="Normal - Style1 4_Exist Trunk Assets - Ferry" xfId="8800" xr:uid="{FF72DCED-4A4C-4A07-94B0-8B3B0528185E}"/>
    <cellStyle name="Normal - Style1 5" xfId="2156" xr:uid="{2901B82F-46F2-4BB3-9F54-D34ECFF86351}"/>
    <cellStyle name="Normal - Style1 5 2" xfId="5028" xr:uid="{5FF6D08B-9090-4055-AA7E-15CBC50EB18A}"/>
    <cellStyle name="Normal - Style1 5 3" xfId="5029" xr:uid="{40BA8E5B-7552-4743-8873-49EBA5C61062}"/>
    <cellStyle name="Normal - Style1 5_Exist Trunk Assets - Ferry" xfId="8801" xr:uid="{C4A50B4A-8F8C-4401-92EB-04ACC1BD06CB}"/>
    <cellStyle name="Normal - Style1 6" xfId="2157" xr:uid="{925CB14A-BB38-4A81-AE86-779F2D24069D}"/>
    <cellStyle name="Normal - Style1 6 2" xfId="5030" xr:uid="{F9DB488D-E61A-408F-B7C0-8FCD0875AB89}"/>
    <cellStyle name="Normal - Style1 6 3" xfId="5031" xr:uid="{E4CF7B21-BE8D-40B4-8EA1-8480D3DCB8A3}"/>
    <cellStyle name="Normal - Style1 6_Exist Trunk Assets - Ferry" xfId="8802" xr:uid="{0309691F-82CD-42A0-A148-3CB9E47D369D}"/>
    <cellStyle name="Normal - Style1 7" xfId="2158" xr:uid="{650A7FE7-BC76-4184-B7AF-FB8221377D53}"/>
    <cellStyle name="Normal - Style1 7 2" xfId="5032" xr:uid="{A97CEE72-796E-4F00-8FE3-0267EEAC0349}"/>
    <cellStyle name="Normal - Style1 7 3" xfId="5033" xr:uid="{EA8FC426-A859-4AC9-9792-B9B4117D71C5}"/>
    <cellStyle name="Normal - Style1 7_Exist Trunk Assets - Ferry" xfId="8803" xr:uid="{388F92C3-88AC-48C2-9425-5817E77940A7}"/>
    <cellStyle name="Normal - Style1 8" xfId="2159" xr:uid="{8059BE56-D07D-4E40-9731-6BCA32DA6286}"/>
    <cellStyle name="Normal - Style1 8 2" xfId="5034" xr:uid="{8A1C8467-4E78-4304-830A-FA29B57BCA53}"/>
    <cellStyle name="Normal - Style1 8 3" xfId="5035" xr:uid="{2FAC59DF-D505-46FD-ADD5-D4FD4C34BA0A}"/>
    <cellStyle name="Normal - Style1 8_Exist Trunk Assets - Ferry" xfId="8804" xr:uid="{4621574B-1ADF-4768-86D6-964AE9A797F7}"/>
    <cellStyle name="Normal - Style1 9" xfId="2160" xr:uid="{62187A98-074C-4409-A32C-3433ADCD9C66}"/>
    <cellStyle name="Normal - Style1 9 2" xfId="5036" xr:uid="{1E6EA998-5BDB-46E9-A7ED-B122C530FEED}"/>
    <cellStyle name="Normal - Style1 9 3" xfId="5037" xr:uid="{EA817A85-BFF5-4886-814F-B65C423F4B3F}"/>
    <cellStyle name="Normal - Style1 9_Exist Trunk Assets - Ferry" xfId="8805" xr:uid="{0B12D1FF-FEF3-4A66-BA23-E2BB4026B337}"/>
    <cellStyle name="Normal - Style1_Exist Trunk Assets - Ferry" xfId="8795" xr:uid="{648C0D19-997D-4870-9625-D454F0B48089}"/>
    <cellStyle name="Normal - Style5" xfId="2161" xr:uid="{3258007A-EAC9-46BE-B6D8-467901DC786C}"/>
    <cellStyle name="Normal - Style5 2" xfId="5038" xr:uid="{75A2A964-2871-4A32-90B2-E73A2A5B18DC}"/>
    <cellStyle name="Normal - Style5 3" xfId="5039" xr:uid="{6312F07D-01ED-4F07-A29A-7BCFEA2FBB41}"/>
    <cellStyle name="Normal - Style5_Exist Trunk Assets - Ferry" xfId="8806" xr:uid="{21F7D077-0905-485A-A9B3-BC7AEF90CB67}"/>
    <cellStyle name="Normal (Red)" xfId="2162" xr:uid="{EC747B76-A0AF-4058-8C23-2C7D4579F4BC}"/>
    <cellStyle name="Normal (Red) 2" xfId="2512" xr:uid="{973E7E3C-2146-4DF0-8F2F-D325F6E3B48F}"/>
    <cellStyle name="Normal (Red) 2 2" xfId="5040" xr:uid="{96E076AC-0B81-4561-867C-D504824BC095}"/>
    <cellStyle name="Normal (Red) 2 3" xfId="5041" xr:uid="{D7B8FAA2-A50F-42DC-8FDA-5BB497404922}"/>
    <cellStyle name="Normal (Red) 2_Exist Trunk Assets - Ferry" xfId="8808" xr:uid="{A183C727-0DEA-4457-8E1C-52A8FF05E4B7}"/>
    <cellStyle name="Normal (Red) 3" xfId="5042" xr:uid="{FD296CBC-784C-4725-BF72-EB1E2AF043D0}"/>
    <cellStyle name="Normal (Red) 4" xfId="5043" xr:uid="{FF97B27A-F1C1-481F-8169-EB561BC3C532}"/>
    <cellStyle name="Normal (Red)_Exist Trunk Assets - Ferry" xfId="8807" xr:uid="{8829AF3A-37C3-4B6C-B465-27D88FFFEC3A}"/>
    <cellStyle name="Normal 10" xfId="1440" xr:uid="{B3980B2E-F36E-4215-9262-28434925A572}"/>
    <cellStyle name="Normal 10 2" xfId="1441" xr:uid="{884456B1-AF32-42A9-996C-E564F335679A}"/>
    <cellStyle name="Normal 10 2 2" xfId="5044" xr:uid="{6C74AF49-9580-4645-9052-F77296BC69E7}"/>
    <cellStyle name="Normal 10 2 2 2" xfId="5045" xr:uid="{C610491E-75BF-450D-8634-BD42B2A8779F}"/>
    <cellStyle name="Normal 10 2 2_Exist Trunk Assets - Ferry" xfId="8811" xr:uid="{2526C1E8-8007-4612-B881-0220E9A558B4}"/>
    <cellStyle name="Normal 10 2 3" xfId="5046" xr:uid="{AB1FBA2A-C293-4C0B-895B-9F990D136A0B}"/>
    <cellStyle name="Normal 10 2 3 2" xfId="5047" xr:uid="{351746AA-6F56-4E0E-9A6E-C1CEBA48ED1C}"/>
    <cellStyle name="Normal 10 2 3_Exist Trunk Assets - Ferry" xfId="8812" xr:uid="{5134BFA3-2B8F-42B8-8908-AA520A377D0B}"/>
    <cellStyle name="Normal 10 2 4" xfId="5048" xr:uid="{6BACEF16-A0CA-4EAF-9D6A-E78B0D13D08D}"/>
    <cellStyle name="Normal 10 2_Exist Trunk Assets - Ferry" xfId="8810" xr:uid="{7D2F37C1-6523-47B8-A4B9-FD791464F6CC}"/>
    <cellStyle name="Normal 10 3" xfId="1830" xr:uid="{985BB133-E7D0-4BD0-8E5E-39F3E7541DEA}"/>
    <cellStyle name="Normal 10 3 2" xfId="5049" xr:uid="{10D9301F-2048-4D7B-B056-EB2AEE38808F}"/>
    <cellStyle name="Normal 10 3 3" xfId="2566" xr:uid="{3C46FD74-E8B0-4A67-952E-1680861E47FE}"/>
    <cellStyle name="Normal 10 3_Exist Trunk Assets - Ferry" xfId="8813" xr:uid="{76AA8CAC-82F4-4779-A5D2-0590AB947C11}"/>
    <cellStyle name="Normal 10 4" xfId="2538" xr:uid="{7BF9A34E-EBD6-4DB6-93B4-A8F9A4979E86}"/>
    <cellStyle name="Normal 10 4 2" xfId="5050" xr:uid="{D9DE9498-B564-4E3D-8DFE-54666542AD44}"/>
    <cellStyle name="Normal 10 4 2 2" xfId="5051" xr:uid="{0188FCA5-2303-4576-A737-F7D0660AA632}"/>
    <cellStyle name="Normal 10 4 2_Exist Trunk Assets - Ferry" xfId="8815" xr:uid="{CAF9352F-36A7-4F57-BCF8-4CDB095FD383}"/>
    <cellStyle name="Normal 10 4 3" xfId="5052" xr:uid="{8E1F7718-4A60-47DE-AFF7-06BBDBEEBDA4}"/>
    <cellStyle name="Normal 10 4_Exist Trunk Assets - Ferry" xfId="8814" xr:uid="{722055F6-16D4-458E-9D81-C3211FC6093B}"/>
    <cellStyle name="Normal 10 5" xfId="5053" xr:uid="{6B5FCB19-2056-4B80-8BF8-8AD83017E325}"/>
    <cellStyle name="Normal 10 5 2" xfId="5054" xr:uid="{2A1E5D6E-A2C3-4D8B-B04D-E23063539E8E}"/>
    <cellStyle name="Normal 10 5_Exist Trunk Assets - Ferry" xfId="8816" xr:uid="{5F9F17D8-0853-4F58-9035-35F4A0112E68}"/>
    <cellStyle name="Normal 10 6" xfId="5055" xr:uid="{DF26531F-E570-4BAB-AA75-BBC57768F072}"/>
    <cellStyle name="Normal 10_Exist Trunk Assets - Ferry" xfId="8809" xr:uid="{892BD645-007D-4619-BEE5-75C35DDBA298}"/>
    <cellStyle name="Normal 100" xfId="5056" xr:uid="{6B36F8D4-FAED-4E05-8841-F99AD66E108A}"/>
    <cellStyle name="Normal 100 2" xfId="5057" xr:uid="{DC2E1B6A-994F-4223-AB34-0496B7A93F32}"/>
    <cellStyle name="Normal 100_Exist Trunk Assets - Ferry" xfId="8817" xr:uid="{F9DCEE96-B92C-4EFF-9355-83C573956729}"/>
    <cellStyle name="Normal 101" xfId="5058" xr:uid="{8C3201FB-88F1-4DC8-9014-04F7C45A4D50}"/>
    <cellStyle name="Normal 101 2" xfId="5059" xr:uid="{FD330CE1-FD36-42E2-9261-F1590FE70205}"/>
    <cellStyle name="Normal 101_Exist Trunk Assets - Ferry" xfId="8818" xr:uid="{6F7EA31E-E360-4DE1-91EA-14FC85A80ECC}"/>
    <cellStyle name="Normal 102" xfId="5060" xr:uid="{ED465F02-C882-416E-B50D-93EB43BCC432}"/>
    <cellStyle name="Normal 102 2" xfId="5061" xr:uid="{2E6869D4-3E4E-4214-9F68-15C1999D5AE9}"/>
    <cellStyle name="Normal 102_Exist Trunk Assets - Ferry" xfId="8819" xr:uid="{4E5C7C48-4367-4680-9B76-6201F59D4541}"/>
    <cellStyle name="Normal 103" xfId="5062" xr:uid="{BD59ADFF-44DF-483E-B731-F7A460A42177}"/>
    <cellStyle name="Normal 103 2" xfId="5063" xr:uid="{B768A3CC-576C-48CA-976D-FFD6EB40C622}"/>
    <cellStyle name="Normal 103_Exist Trunk Assets - Ferry" xfId="8820" xr:uid="{32C8BAEC-E8A6-449D-AE3D-F7F86B24476E}"/>
    <cellStyle name="Normal 104" xfId="5064" xr:uid="{1FF5101D-C887-41A8-979C-A7A3DDBA445D}"/>
    <cellStyle name="Normal 104 2" xfId="5065" xr:uid="{E9BD64C6-89A4-4C6C-89AC-9A8D55C28F2A}"/>
    <cellStyle name="Normal 104_Exist Trunk Assets - Ferry" xfId="8821" xr:uid="{E045537A-6F64-4B5A-B6A1-1443A70FD5C7}"/>
    <cellStyle name="Normal 105" xfId="5066" xr:uid="{A4494047-FE3B-4A1D-93FB-67A5D47E9D0A}"/>
    <cellStyle name="Normal 105 2" xfId="5067" xr:uid="{63842301-C084-4BB7-96DB-B0A84826AFE3}"/>
    <cellStyle name="Normal 105_Exist Trunk Assets - Ferry" xfId="8822" xr:uid="{26C8D9AF-3BBB-4F69-9BBD-8EA8A945A9EE}"/>
    <cellStyle name="Normal 106" xfId="5068" xr:uid="{94CDF366-75CD-4AF0-861F-B44B1E5C4776}"/>
    <cellStyle name="Normal 106 2" xfId="5069" xr:uid="{DFF5653F-25B6-4B7E-924D-3EAD35B4B220}"/>
    <cellStyle name="Normal 106_Exist Trunk Assets - Ferry" xfId="8823" xr:uid="{747F356C-FC51-495B-9826-3E7F6431B993}"/>
    <cellStyle name="Normal 107" xfId="5070" xr:uid="{F35D6CA5-8BB1-4764-B7B4-3BA2E4B5626F}"/>
    <cellStyle name="Normal 107 2" xfId="5071" xr:uid="{FC5BD1FB-AAFE-4FA6-8F80-7C6CE6B347F6}"/>
    <cellStyle name="Normal 107_Exist Trunk Assets - Ferry" xfId="8824" xr:uid="{8646E008-2092-4699-A5C7-4A85B9A204D0}"/>
    <cellStyle name="Normal 108" xfId="5072" xr:uid="{BDA54E9F-2B61-486F-82C2-2E5F9293A40D}"/>
    <cellStyle name="Normal 108 2" xfId="5073" xr:uid="{B3B0C737-F6D2-49B7-A71B-6E14CFBC24A6}"/>
    <cellStyle name="Normal 108_Exist Trunk Assets - Ferry" xfId="8825" xr:uid="{965914ED-37E0-4587-BE09-E5F488D3E942}"/>
    <cellStyle name="Normal 109" xfId="5074" xr:uid="{04EADF30-4C33-4A97-8A94-1F6DC5DCE910}"/>
    <cellStyle name="Normal 109 2" xfId="5075" xr:uid="{285071BE-F23E-498B-9873-8B4DE3C836E1}"/>
    <cellStyle name="Normal 109_Exist Trunk Assets - Ferry" xfId="8826" xr:uid="{E5C1C452-E07E-45EE-AEE5-9DBCADA4D654}"/>
    <cellStyle name="Normal 11" xfId="1442" xr:uid="{445BA043-2B6E-430A-AACB-7B512C2BD8C3}"/>
    <cellStyle name="Normal 11 2" xfId="1443" xr:uid="{4FAC66F6-1E57-460A-8D3A-2DCA4A20CD24}"/>
    <cellStyle name="Normal 11 2 2" xfId="5076" xr:uid="{048CDAB7-9A1B-4AEA-B84B-54395BA52832}"/>
    <cellStyle name="Normal 11 2 2 2" xfId="5077" xr:uid="{79C8B01B-1C27-4BA1-BEBA-165A17A7B0C2}"/>
    <cellStyle name="Normal 11 2 2_Exist Trunk Assets - Ferry" xfId="8829" xr:uid="{B6451C31-3C01-48FA-B071-5A7AAD7CF610}"/>
    <cellStyle name="Normal 11 2 3" xfId="5078" xr:uid="{A8625545-61EA-485A-8A4B-80D6CAB90F4C}"/>
    <cellStyle name="Normal 11 2 3 2" xfId="5079" xr:uid="{067CAFDC-0AAC-4940-A401-60478A496F9F}"/>
    <cellStyle name="Normal 11 2 3_Exist Trunk Assets - Ferry" xfId="8830" xr:uid="{3AC3563B-FD42-4BB9-B228-6ADFC56FA914}"/>
    <cellStyle name="Normal 11 2 4" xfId="5080" xr:uid="{E50B251B-D261-4DCB-9467-2FD48E289D70}"/>
    <cellStyle name="Normal 11 2_Exist Trunk Assets - Ferry" xfId="8828" xr:uid="{2D9A67D6-AB02-4FBB-AC18-E5FAF4FE4FB4}"/>
    <cellStyle name="Normal 11 3" xfId="2345" xr:uid="{7AF239BF-41BD-4CC2-A273-626D5D5372C0}"/>
    <cellStyle name="Normal 11 3 2" xfId="5081" xr:uid="{B746A82A-6C5B-41B6-8E47-2F84A03E5E29}"/>
    <cellStyle name="Normal 11 3 3" xfId="5082" xr:uid="{956134A9-7864-4DA9-B5B0-B52E2B4CCDE4}"/>
    <cellStyle name="Normal 11 3_Exist Trunk Assets - Ferry" xfId="8831" xr:uid="{7C864E15-B1B1-4FBE-8E9B-6A1328D59E51}"/>
    <cellStyle name="Normal 11 4" xfId="2539" xr:uid="{6981DB12-48AE-4A30-A804-469FC55BF04F}"/>
    <cellStyle name="Normal 11 4 2" xfId="5083" xr:uid="{34091D46-D07F-403E-AF41-B07070D12CEE}"/>
    <cellStyle name="Normal 11 4 2 2" xfId="5084" xr:uid="{7CEBD240-B2C5-43D3-8ABD-7FA37D558071}"/>
    <cellStyle name="Normal 11 4 2_Exist Trunk Assets - Ferry" xfId="8833" xr:uid="{BE24E170-E0B8-4F36-A32A-447A475A3085}"/>
    <cellStyle name="Normal 11 4 3" xfId="5085" xr:uid="{6D55FE5B-7D91-40AC-B95A-BEE7CE6386A1}"/>
    <cellStyle name="Normal 11 4_Exist Trunk Assets - Ferry" xfId="8832" xr:uid="{237E80C1-B2E6-43B7-BF8C-A26C641214F0}"/>
    <cellStyle name="Normal 11 5" xfId="5086" xr:uid="{36CF0471-691D-482E-97BE-8A10B6B7203C}"/>
    <cellStyle name="Normal 11 5 2" xfId="5087" xr:uid="{B92F7E9C-659E-44F3-BFB5-8304CA6A51C8}"/>
    <cellStyle name="Normal 11 5_Exist Trunk Assets - Ferry" xfId="8834" xr:uid="{EAA84797-527F-4FC7-B6F2-42966C554008}"/>
    <cellStyle name="Normal 11 6" xfId="5088" xr:uid="{CB4C6403-ECE8-4AB0-9D15-2221A7988DB9}"/>
    <cellStyle name="Normal 11_Exist Trunk Assets - Ferry" xfId="8827" xr:uid="{6F76A709-53C1-405D-9239-885D0FE7CB27}"/>
    <cellStyle name="Normal 110" xfId="5089" xr:uid="{AC889586-95E9-4F01-8844-8007DF60A400}"/>
    <cellStyle name="Normal 110 2" xfId="5090" xr:uid="{ABA94667-F844-4896-BBF6-88BC32DAC393}"/>
    <cellStyle name="Normal 110_Exist Trunk Assets - Ferry" xfId="8835" xr:uid="{014979A8-A21F-4902-BB12-CDDC162559E1}"/>
    <cellStyle name="Normal 111" xfId="5091" xr:uid="{EA6C080B-C639-4F4B-8E0A-CF845433F5FA}"/>
    <cellStyle name="Normal 111 2" xfId="5092" xr:uid="{CB6E29C9-B52C-43D5-8B5F-A4A4066E411D}"/>
    <cellStyle name="Normal 111_Exist Trunk Assets - Ferry" xfId="8836" xr:uid="{14F92C1D-1058-4F43-928D-58FCEC39CF4F}"/>
    <cellStyle name="Normal 112" xfId="5093" xr:uid="{C6ADE6C9-4F30-4DC2-B607-67FA62FE0811}"/>
    <cellStyle name="Normal 112 2" xfId="5094" xr:uid="{90FFC732-3011-4663-A7D2-14B014B5F1EE}"/>
    <cellStyle name="Normal 112_Exist Trunk Assets - Ferry" xfId="8837" xr:uid="{67150E64-9C34-47B5-9EAB-92C4C56D6E80}"/>
    <cellStyle name="Normal 113" xfId="5095" xr:uid="{08F12A74-1614-4B37-80DD-17524368EECA}"/>
    <cellStyle name="Normal 113 2" xfId="5096" xr:uid="{BC992EEF-6E62-4319-A3EA-230BA091CF4C}"/>
    <cellStyle name="Normal 113_Exist Trunk Assets - Ferry" xfId="8838" xr:uid="{445AA85C-D0C3-4580-84DE-2B51A088F467}"/>
    <cellStyle name="Normal 114" xfId="5097" xr:uid="{90A4DF01-880B-49F6-BF39-4500D228BA27}"/>
    <cellStyle name="Normal 114 2" xfId="5098" xr:uid="{753F77F0-1C21-4E74-8556-7C75760A6748}"/>
    <cellStyle name="Normal 114_Exist Trunk Assets - Ferry" xfId="8839" xr:uid="{A3130866-C2EC-414A-A117-27A50A76CA48}"/>
    <cellStyle name="Normal 115" xfId="5099" xr:uid="{1CAA8371-2D43-4445-9CAB-756DE6677437}"/>
    <cellStyle name="Normal 115 2" xfId="5100" xr:uid="{6A69E5E3-3C5D-46F6-815F-BEC2CD7F470E}"/>
    <cellStyle name="Normal 115_Exist Trunk Assets - Ferry" xfId="8840" xr:uid="{C39C424B-E1B2-4A64-B331-2023C3401B0C}"/>
    <cellStyle name="Normal 116" xfId="5101" xr:uid="{1E34D55B-5CA4-481B-91B0-855CE33973B1}"/>
    <cellStyle name="Normal 116 2" xfId="5102" xr:uid="{188D3073-ED20-404B-8BF1-7C8082EE1F72}"/>
    <cellStyle name="Normal 116_Exist Trunk Assets - Ferry" xfId="8841" xr:uid="{D02C5C23-078D-4835-8D0F-D88A26EBB05D}"/>
    <cellStyle name="Normal 117" xfId="5103" xr:uid="{4B73EAB7-368B-4DA3-9970-2799E34BAAE4}"/>
    <cellStyle name="Normal 117 2" xfId="5104" xr:uid="{4856D8D5-76B6-4021-9578-84AE68769126}"/>
    <cellStyle name="Normal 117_Exist Trunk Assets - Ferry" xfId="8842" xr:uid="{BF6B3220-07AB-4923-8498-32C1A16D8877}"/>
    <cellStyle name="Normal 118" xfId="5105" xr:uid="{7BFA9EBC-D41E-4ADF-9E7D-77550AB97136}"/>
    <cellStyle name="Normal 118 2" xfId="5106" xr:uid="{387A858B-255C-48E6-914F-7676F83AC3CE}"/>
    <cellStyle name="Normal 118_Exist Trunk Assets - Ferry" xfId="8843" xr:uid="{04A31043-506A-420C-9C62-40BD76653284}"/>
    <cellStyle name="Normal 119" xfId="5107" xr:uid="{F9B267E3-9E2B-4569-8DC2-977F76F6ED63}"/>
    <cellStyle name="Normal 119 2" xfId="5108" xr:uid="{0F528337-D1B9-4371-8098-8164DA563437}"/>
    <cellStyle name="Normal 119_Exist Trunk Assets - Ferry" xfId="8844" xr:uid="{36406E30-B1D7-4A29-BC4B-1BC627414248}"/>
    <cellStyle name="Normal 12" xfId="1444" xr:uid="{D95E5FE2-DA90-476D-B907-DAAACFA462A9}"/>
    <cellStyle name="Normal 12 2" xfId="1445" xr:uid="{36AB93DB-A474-4FE6-B51D-4BC4B1F7E25C}"/>
    <cellStyle name="Normal 12 2 2" xfId="5109" xr:uid="{5C780250-CAAD-422D-8AB5-E53EE3507FCC}"/>
    <cellStyle name="Normal 12 2 2 2" xfId="5110" xr:uid="{A6E6B9EB-756B-438F-A547-7553DB2557CF}"/>
    <cellStyle name="Normal 12 2 2_Exist Trunk Assets - Ferry" xfId="8847" xr:uid="{F2E0F356-BE8E-4058-B492-1A0D76EE4D4D}"/>
    <cellStyle name="Normal 12 2 3" xfId="5111" xr:uid="{6F681BBB-0102-4B28-8D42-6C388C92EF06}"/>
    <cellStyle name="Normal 12 2 3 2" xfId="5112" xr:uid="{B44AF903-4A86-4222-8D72-BA6D24B03C6C}"/>
    <cellStyle name="Normal 12 2 3_Exist Trunk Assets - Ferry" xfId="8848" xr:uid="{6F01E926-4858-4D9F-85C1-672C03EBEE3A}"/>
    <cellStyle name="Normal 12 2 4" xfId="5113" xr:uid="{693AC811-5671-492B-99D7-D1471914F7D7}"/>
    <cellStyle name="Normal 12 2_Exist Trunk Assets - Ferry" xfId="8846" xr:uid="{52B67819-383D-44FA-A712-3B8E1986BF8F}"/>
    <cellStyle name="Normal 12 3" xfId="2341" xr:uid="{D7D6D128-FB39-428A-BBC6-A1E54465F777}"/>
    <cellStyle name="Normal 12 3 2" xfId="5114" xr:uid="{26F64583-55AF-45DD-9ACB-FF2B77C76B69}"/>
    <cellStyle name="Normal 12 3 3" xfId="5115" xr:uid="{814405F8-C822-4411-A599-0B7CB16F00BA}"/>
    <cellStyle name="Normal 12 3_Exist Trunk Assets - Ferry" xfId="8849" xr:uid="{6225A8FB-A68B-4A61-9CA6-DDF3B21674C0}"/>
    <cellStyle name="Normal 12 4" xfId="2540" xr:uid="{135C04F8-1065-4104-99E5-CE06F4DC6EFE}"/>
    <cellStyle name="Normal 12 4 2" xfId="5116" xr:uid="{613FD2F2-A744-4FCA-BC84-2FD872B6AC18}"/>
    <cellStyle name="Normal 12 4 2 2" xfId="5117" xr:uid="{828DE900-21EA-4995-BBA8-D071C11445BF}"/>
    <cellStyle name="Normal 12 4 2_Exist Trunk Assets - Ferry" xfId="8851" xr:uid="{99ACF8EF-1CC8-4F7E-8031-A8987F214C0E}"/>
    <cellStyle name="Normal 12 4 3" xfId="5118" xr:uid="{5E8BEC74-495C-4DCF-AE3B-D75188C0D6A4}"/>
    <cellStyle name="Normal 12 4_Exist Trunk Assets - Ferry" xfId="8850" xr:uid="{EFF94721-2332-4E84-A134-F3E770CF0AB7}"/>
    <cellStyle name="Normal 12 5" xfId="5119" xr:uid="{C337E9AB-88ED-4739-A967-11D6B5089C08}"/>
    <cellStyle name="Normal 12 5 2" xfId="5120" xr:uid="{93174695-E1B7-4E95-B805-B60B85C50A77}"/>
    <cellStyle name="Normal 12 5_Exist Trunk Assets - Ferry" xfId="8852" xr:uid="{C6D8AC73-FD38-4D52-8A45-57CFE07DFD15}"/>
    <cellStyle name="Normal 12 6" xfId="5121" xr:uid="{957D8A45-4668-4E9D-AEA3-5F09DAA15D4B}"/>
    <cellStyle name="Normal 12_Exist Trunk Assets - Ferry" xfId="8845" xr:uid="{2A95472F-CB87-4980-8DBB-12EE58FC73A4}"/>
    <cellStyle name="Normal 120" xfId="5122" xr:uid="{ED3DF960-8987-4ABB-A0D0-DF74BA35329D}"/>
    <cellStyle name="Normal 120 2" xfId="5123" xr:uid="{51D86FB3-D903-43C1-BDE3-A7F8E5E51ECF}"/>
    <cellStyle name="Normal 120_Exist Trunk Assets - Ferry" xfId="8853" xr:uid="{767763EE-B6EF-4197-9DC6-5827D9A9D144}"/>
    <cellStyle name="Normal 121" xfId="5124" xr:uid="{9648A49D-C4A9-421F-B015-386F82AAADAA}"/>
    <cellStyle name="Normal 121 2" xfId="5125" xr:uid="{493B2AFD-BD7E-4014-88E4-A69C177CCC03}"/>
    <cellStyle name="Normal 121_Exist Trunk Assets - Ferry" xfId="8854" xr:uid="{E46F3754-44E7-4F9E-A6EE-1A6367F1BC73}"/>
    <cellStyle name="Normal 122" xfId="5126" xr:uid="{4CA0547E-7942-435C-94D0-A04E0A3B5816}"/>
    <cellStyle name="Normal 122 2" xfId="5127" xr:uid="{0144B1DE-DEEE-4C40-BD0B-963D18C583C6}"/>
    <cellStyle name="Normal 122_Exist Trunk Assets - Ferry" xfId="8855" xr:uid="{6A795FF8-95DD-4C6C-B1FD-7D469F97DB0B}"/>
    <cellStyle name="Normal 123" xfId="5128" xr:uid="{A90EDA56-5AB1-4FE4-BF44-F31BAD62717A}"/>
    <cellStyle name="Normal 123 2" xfId="5129" xr:uid="{61CB6901-552B-4EC4-BB00-B2B55FE9E7E0}"/>
    <cellStyle name="Normal 123_Exist Trunk Assets - Ferry" xfId="8856" xr:uid="{A3D33DD3-DF08-43D3-9284-6811C79FE6EF}"/>
    <cellStyle name="Normal 124" xfId="5130" xr:uid="{720AD209-0AAF-4F4D-85AF-6EEA982C4BF6}"/>
    <cellStyle name="Normal 124 2" xfId="5131" xr:uid="{7EB276A0-8B1D-45D7-B056-E1AD0DD3BFC6}"/>
    <cellStyle name="Normal 124_Exist Trunk Assets - Ferry" xfId="8857" xr:uid="{6ABFA743-0971-4226-A220-E08574191F16}"/>
    <cellStyle name="Normal 125" xfId="5132" xr:uid="{147227DF-D152-4DE0-9D58-AE935477CF64}"/>
    <cellStyle name="Normal 125 2" xfId="5133" xr:uid="{D4945ACA-32F4-4C01-B57B-C38642A7A6D0}"/>
    <cellStyle name="Normal 125_Exist Trunk Assets - Ferry" xfId="8858" xr:uid="{DC0E77F7-DA76-4641-96C1-E65EE7895C69}"/>
    <cellStyle name="Normal 126" xfId="5134" xr:uid="{0479AE97-37B1-4EF1-B7A0-C5890724EEC8}"/>
    <cellStyle name="Normal 126 2" xfId="5135" xr:uid="{B484C790-09CB-4D6B-860B-4FC3293ECF54}"/>
    <cellStyle name="Normal 126_Exist Trunk Assets - Ferry" xfId="8859" xr:uid="{69C964D1-9543-4796-BF15-57A007921DAD}"/>
    <cellStyle name="Normal 127" xfId="5136" xr:uid="{5BB4D887-8FBD-43D8-B94B-9C6E0A4A484B}"/>
    <cellStyle name="Normal 127 2" xfId="5137" xr:uid="{13EE8B34-384E-493A-A3D8-07F3EB228832}"/>
    <cellStyle name="Normal 127_Exist Trunk Assets - Ferry" xfId="8860" xr:uid="{D10911FD-0C06-4A53-A6EE-855D8257B643}"/>
    <cellStyle name="Normal 128" xfId="5138" xr:uid="{B47421FF-09BD-4060-80A1-94A9F1722D63}"/>
    <cellStyle name="Normal 128 2" xfId="5139" xr:uid="{7C023221-F7BB-43D7-AE7B-2141E8F73EBF}"/>
    <cellStyle name="Normal 128_Exist Trunk Assets - Ferry" xfId="8861" xr:uid="{91B4AA94-6D75-43A6-905C-BB56907DAAAD}"/>
    <cellStyle name="Normal 129" xfId="5140" xr:uid="{3BA3E759-03A1-4ECB-819E-FC6CE351BAFE}"/>
    <cellStyle name="Normal 129 2" xfId="5141" xr:uid="{B8227DAB-2496-452B-908F-CFC6615FDAFD}"/>
    <cellStyle name="Normal 129 3" xfId="5142" xr:uid="{B5CBC90F-6A85-42FF-BEEF-DD722957E31A}"/>
    <cellStyle name="Normal 129_Exist Trunk Assets - Ferry" xfId="8862" xr:uid="{4E8B4CC0-097F-45FA-A0CC-048393D3F039}"/>
    <cellStyle name="Normal 13" xfId="1446" xr:uid="{E8519E23-4E50-4021-B1F8-148EF8068875}"/>
    <cellStyle name="Normal 13 2" xfId="1447" xr:uid="{26713DE2-F3DA-404C-9FF9-8CC068C214D3}"/>
    <cellStyle name="Normal 13 2 2" xfId="5143" xr:uid="{B6A95F15-926C-4CF0-BFD0-780AD22E962E}"/>
    <cellStyle name="Normal 13 2 2 2" xfId="5144" xr:uid="{60DB617D-0E2D-40EE-BECA-117ED8383380}"/>
    <cellStyle name="Normal 13 2 2_Exist Trunk Assets - Ferry" xfId="8865" xr:uid="{93320995-FCFF-4B45-89F1-A7282F1D5232}"/>
    <cellStyle name="Normal 13 2 3" xfId="5145" xr:uid="{ECFA5A17-50B3-484F-8A5E-6041A89CB20F}"/>
    <cellStyle name="Normal 13 2 3 2" xfId="5146" xr:uid="{BD0B219A-A0C9-45A0-8BDA-3F84AEF1D7B9}"/>
    <cellStyle name="Normal 13 2 3_Exist Trunk Assets - Ferry" xfId="8866" xr:uid="{BEC3245B-F30C-47E2-8BC4-944F6FF3C314}"/>
    <cellStyle name="Normal 13 2 4" xfId="5147" xr:uid="{2EA4F6F3-57FF-48BA-9638-117EE019B491}"/>
    <cellStyle name="Normal 13 2_Exist Trunk Assets - Ferry" xfId="8864" xr:uid="{AB4A6A58-E2DF-487D-B012-6564643518F8}"/>
    <cellStyle name="Normal 13 3" xfId="2346" xr:uid="{65BC1C91-C1D9-4265-9CC8-F9C3F84B43EF}"/>
    <cellStyle name="Normal 13 3 2" xfId="5148" xr:uid="{0B7D050C-5C3F-4F7B-9562-BCF8187A07C9}"/>
    <cellStyle name="Normal 13 3 3" xfId="5149" xr:uid="{707FD168-95AC-45E0-A9D3-02340B938307}"/>
    <cellStyle name="Normal 13 3_Exist Trunk Assets - Ferry" xfId="8867" xr:uid="{3EAA550D-25E9-4744-B8EA-9C9CA2F98926}"/>
    <cellStyle name="Normal 13 4" xfId="2541" xr:uid="{3BF3B656-13EA-4E96-8ADD-CDCAE20869E0}"/>
    <cellStyle name="Normal 13 4 2" xfId="5150" xr:uid="{D3687E6B-17E2-4769-A08F-9F900EFA6C54}"/>
    <cellStyle name="Normal 13 4 2 2" xfId="5151" xr:uid="{CB2697DB-9EE7-4690-B82D-17D216791434}"/>
    <cellStyle name="Normal 13 4 2_Exist Trunk Assets - Ferry" xfId="8869" xr:uid="{FA3896DF-3CAB-47AB-A4B2-3DD9BB51DA53}"/>
    <cellStyle name="Normal 13 4 3" xfId="5152" xr:uid="{9F8BB912-C7B0-4657-9DEA-C9D9D12539F4}"/>
    <cellStyle name="Normal 13 4_Exist Trunk Assets - Ferry" xfId="8868" xr:uid="{C2953418-14F8-48E0-88BB-65E66AA74D4E}"/>
    <cellStyle name="Normal 13 5" xfId="5153" xr:uid="{018097D4-04D3-4BFA-BBBD-473291D8AF76}"/>
    <cellStyle name="Normal 13 5 2" xfId="5154" xr:uid="{149878B3-5F82-4BC0-967A-0C7F9706BA6F}"/>
    <cellStyle name="Normal 13 5_Exist Trunk Assets - Ferry" xfId="8870" xr:uid="{85EC657D-B4AB-4301-9F12-7FF13C597A57}"/>
    <cellStyle name="Normal 13 6" xfId="5155" xr:uid="{55541CC7-FF51-4013-8441-3F4F308C1FBC}"/>
    <cellStyle name="Normal 13_Exist Trunk Assets - Ferry" xfId="8863" xr:uid="{2EB869A3-32AD-4D8E-931E-7CC9D5031B0F}"/>
    <cellStyle name="Normal 130" xfId="5156" xr:uid="{E3C6549D-0C63-46F5-9E02-B719E8A71E66}"/>
    <cellStyle name="Normal 130 2" xfId="5157" xr:uid="{D14777D0-3E75-4E7A-B313-A0772E57687A}"/>
    <cellStyle name="Normal 130_Exist Trunk Assets - Ferry" xfId="8871" xr:uid="{0DA0F8CC-830C-4929-B2C3-41367F8996BC}"/>
    <cellStyle name="Normal 131" xfId="5158" xr:uid="{7CABFC4B-C5BC-4FE8-8E48-F540725FB0E5}"/>
    <cellStyle name="Normal 131 2" xfId="5159" xr:uid="{1A149920-1F58-42CF-B3BC-2B8383F460E2}"/>
    <cellStyle name="Normal 131_Exist Trunk Assets - Ferry" xfId="8872" xr:uid="{30AE5B56-EED4-4EE9-8786-D553CF06CEE5}"/>
    <cellStyle name="Normal 132" xfId="5160" xr:uid="{6E1A8CC7-1D31-4C0A-8486-230E713A2ED6}"/>
    <cellStyle name="Normal 132 2" xfId="5161" xr:uid="{A51CF452-DD24-4610-A04A-E595E921806C}"/>
    <cellStyle name="Normal 132_Exist Trunk Assets - Ferry" xfId="8873" xr:uid="{0E89C36A-FB4C-4F00-BD7C-FB0FE5FC3DBC}"/>
    <cellStyle name="Normal 133" xfId="5162" xr:uid="{D753B495-5658-4C98-8674-84AE5C74E466}"/>
    <cellStyle name="Normal 133 2" xfId="5163" xr:uid="{4E212347-38F4-4CA4-A656-641429DB804D}"/>
    <cellStyle name="Normal 133_Exist Trunk Assets - Ferry" xfId="8874" xr:uid="{7342C891-81A6-482E-823D-5B09A1868262}"/>
    <cellStyle name="Normal 134" xfId="5164" xr:uid="{89938F42-3142-4BD8-9275-C5E7A8225345}"/>
    <cellStyle name="Normal 134 2" xfId="5165" xr:uid="{671A7485-1F36-4921-B7CD-36794A373BD1}"/>
    <cellStyle name="Normal 134_Exist Trunk Assets - Ferry" xfId="8875" xr:uid="{B2E64B14-E663-4070-AE2F-4484A49A42E0}"/>
    <cellStyle name="Normal 135" xfId="5166" xr:uid="{A2E25154-8CE7-42DC-9FFC-553B558701A0}"/>
    <cellStyle name="Normal 135 2" xfId="5167" xr:uid="{BF960D8B-197A-44E1-81A4-3DF09741DEA5}"/>
    <cellStyle name="Normal 135_Exist Trunk Assets - Ferry" xfId="8876" xr:uid="{2D9498FB-93A6-499A-90DA-DA1B0C2CCC3F}"/>
    <cellStyle name="Normal 136" xfId="5168" xr:uid="{93B83164-A696-40B5-8849-59747C8CBBE7}"/>
    <cellStyle name="Normal 136 2" xfId="5169" xr:uid="{F1FD6F99-0402-4F3F-9CD5-E9AA0C094922}"/>
    <cellStyle name="Normal 136_Exist Trunk Assets - Ferry" xfId="8877" xr:uid="{408C8E10-F9DC-46BF-8FC8-41A166F34DA3}"/>
    <cellStyle name="Normal 137" xfId="5170" xr:uid="{CE025B0A-F414-4BCF-8E42-B403CF5A2AC2}"/>
    <cellStyle name="Normal 137 2" xfId="5171" xr:uid="{D4B6A9AA-B93F-4834-84EF-8230A6AD954D}"/>
    <cellStyle name="Normal 137_Exist Trunk Assets - Ferry" xfId="8878" xr:uid="{E1B95A51-A3C7-4E3F-B732-37E91A308F3B}"/>
    <cellStyle name="Normal 138" xfId="5172" xr:uid="{B462F07E-298E-4E9C-ABE4-2CBED33B74AD}"/>
    <cellStyle name="Normal 138 2" xfId="5173" xr:uid="{E792DDD8-C8F7-43F3-8BBB-C089EF723CF1}"/>
    <cellStyle name="Normal 138_Exist Trunk Assets - Ferry" xfId="8879" xr:uid="{03AC1EF5-1210-4889-A4B3-DD00FE8DB459}"/>
    <cellStyle name="Normal 139" xfId="5174" xr:uid="{8212AB51-C364-451F-B5A1-7A79F94ECC30}"/>
    <cellStyle name="Normal 139 2" xfId="5175" xr:uid="{E0EA10BC-BC96-4794-901F-46BE16190869}"/>
    <cellStyle name="Normal 139_Exist Trunk Assets - Ferry" xfId="8880" xr:uid="{17882E90-CE03-4436-B1B4-56A8FD1E05E8}"/>
    <cellStyle name="Normal 14" xfId="1448" xr:uid="{5674CE95-55B2-48A9-96FA-32ADEE1EAF11}"/>
    <cellStyle name="Normal 14 2" xfId="1449" xr:uid="{569A5358-986D-4C7E-8273-312A0EF748B9}"/>
    <cellStyle name="Normal 14 2 2" xfId="5176" xr:uid="{45B62A24-0194-453C-B4E5-C7F3F7D5091D}"/>
    <cellStyle name="Normal 14 2 2 2" xfId="5177" xr:uid="{C8771F12-C787-453F-BE34-D80B55E35D7C}"/>
    <cellStyle name="Normal 14 2 2_Exist Trunk Assets - Ferry" xfId="8883" xr:uid="{E7C41A60-671D-4243-9F51-56220EC0CFA7}"/>
    <cellStyle name="Normal 14 2 3" xfId="5178" xr:uid="{8DB11C94-E516-4F7E-8667-DF9C1EF2F3E9}"/>
    <cellStyle name="Normal 14 2 3 2" xfId="5179" xr:uid="{E4C80D67-48D2-4FD6-A824-7C6A761CB1E6}"/>
    <cellStyle name="Normal 14 2 3_Exist Trunk Assets - Ferry" xfId="8884" xr:uid="{C5B69773-AB6B-4081-939E-9E5756D6613F}"/>
    <cellStyle name="Normal 14 2 4" xfId="5180" xr:uid="{A78E451E-0CBF-40E1-B46F-A7DBA60B06B1}"/>
    <cellStyle name="Normal 14 2_Exist Trunk Assets - Ferry" xfId="8882" xr:uid="{969A85C1-861A-43EE-A5FC-09BEDABBE400}"/>
    <cellStyle name="Normal 14 3" xfId="2348" xr:uid="{4F1BE91D-EBFF-40D2-869C-342D7569EB15}"/>
    <cellStyle name="Normal 14 3 2" xfId="5181" xr:uid="{B9F44EC3-C252-4940-9720-FDBA59C66210}"/>
    <cellStyle name="Normal 14 3 3" xfId="5182" xr:uid="{AE3C25F0-D1AC-47CC-89D8-B782D6AF1FED}"/>
    <cellStyle name="Normal 14 3_Exist Trunk Assets - Ferry" xfId="8885" xr:uid="{077EE87C-1AF7-4065-AD30-A6E3DE4C5F55}"/>
    <cellStyle name="Normal 14 4" xfId="2542" xr:uid="{7F9ACF4D-E048-4F45-96D9-906244B499ED}"/>
    <cellStyle name="Normal 14 4 2" xfId="5183" xr:uid="{ED360D92-EE29-4C36-B864-C5B81467AFB6}"/>
    <cellStyle name="Normal 14 4 2 2" xfId="5184" xr:uid="{77874FE2-1CDC-4BEA-BB3E-5E006E20E778}"/>
    <cellStyle name="Normal 14 4 2_Exist Trunk Assets - Ferry" xfId="8887" xr:uid="{E466B319-C719-461C-8EBC-EB0D6359E862}"/>
    <cellStyle name="Normal 14 4 3" xfId="5185" xr:uid="{C2B485FC-7CED-44CF-B998-E62F70EA21C9}"/>
    <cellStyle name="Normal 14 4_Exist Trunk Assets - Ferry" xfId="8886" xr:uid="{6FCAE6D1-FEFF-4460-809D-6FC9A7495F38}"/>
    <cellStyle name="Normal 14 5" xfId="5186" xr:uid="{2BFFCC8B-2DD2-4B23-A2EB-CE0D4CFEF9CE}"/>
    <cellStyle name="Normal 14 5 2" xfId="5187" xr:uid="{714AC40E-22E2-4BEA-A542-6512D02566E8}"/>
    <cellStyle name="Normal 14 5_Exist Trunk Assets - Ferry" xfId="8888" xr:uid="{0199FD8B-DB84-44F7-AAC2-82BB3F59D0C2}"/>
    <cellStyle name="Normal 14 6" xfId="5188" xr:uid="{0CF11371-69DF-4E63-BCFA-F152AA2AC329}"/>
    <cellStyle name="Normal 14_Exist Trunk Assets - Ferry" xfId="8881" xr:uid="{85350D8F-949E-49C7-9FB1-D94952AAB59D}"/>
    <cellStyle name="Normal 140" xfId="5189" xr:uid="{5DDEA5A9-D0F5-48BE-8862-3E2F86886426}"/>
    <cellStyle name="Normal 140 2" xfId="5190" xr:uid="{59BFE15A-6790-482C-9B19-8DCE7B32D883}"/>
    <cellStyle name="Normal 140_Exist Trunk Assets - Ferry" xfId="8889" xr:uid="{2E791925-3B81-428C-93E6-EC462AB26C00}"/>
    <cellStyle name="Normal 141" xfId="5191" xr:uid="{3F91DBDD-BCA2-44D7-9560-6BB2192E9DD0}"/>
    <cellStyle name="Normal 141 2" xfId="5192" xr:uid="{D9FD7CD3-69A4-4D39-BA4D-CDD900EE0E6A}"/>
    <cellStyle name="Normal 141_Exist Trunk Assets - Ferry" xfId="8890" xr:uid="{072F29F1-AB01-414C-A987-EBA460F44917}"/>
    <cellStyle name="Normal 142" xfId="5193" xr:uid="{78D77CD7-6E22-4D00-887E-4D9A732CC3F8}"/>
    <cellStyle name="Normal 142 2" xfId="5194" xr:uid="{88441645-37CA-42B4-B3C7-9A11C0BC9D73}"/>
    <cellStyle name="Normal 142_Exist Trunk Assets - Ferry" xfId="8891" xr:uid="{DC7F4B2A-EE3D-4C82-AB1E-EC97B9C869B8}"/>
    <cellStyle name="Normal 143" xfId="5195" xr:uid="{CEDD8BF1-7F12-4500-AE5A-C316C0688514}"/>
    <cellStyle name="Normal 143 2" xfId="5196" xr:uid="{DAAE80BB-554C-4149-9E0D-ABECDE12D864}"/>
    <cellStyle name="Normal 143_Exist Trunk Assets - Ferry" xfId="8892" xr:uid="{CD93A9F8-64B6-4894-A6F2-048CBF4553A1}"/>
    <cellStyle name="Normal 144" xfId="5197" xr:uid="{450A0066-4073-4478-9C27-B1F2CBD479B4}"/>
    <cellStyle name="Normal 144 2" xfId="5198" xr:uid="{87FA63F3-642D-4481-8862-4DA0B488E8C9}"/>
    <cellStyle name="Normal 144_Exist Trunk Assets - Ferry" xfId="8893" xr:uid="{7245DC51-D597-46C9-9215-F56CC2800763}"/>
    <cellStyle name="Normal 145" xfId="5199" xr:uid="{59EDB8BB-D876-4992-89DA-2037C494F84F}"/>
    <cellStyle name="Normal 145 2" xfId="5200" xr:uid="{A8E132F1-0DCA-47CF-A721-3FD5260778CA}"/>
    <cellStyle name="Normal 145_Exist Trunk Assets - Ferry" xfId="8894" xr:uid="{8CFEFBEA-0E1E-4D86-951C-F3EEC0600E86}"/>
    <cellStyle name="Normal 146" xfId="5201" xr:uid="{A24D7983-F2AF-4E28-A9C5-75C9552F332B}"/>
    <cellStyle name="Normal 146 2" xfId="5202" xr:uid="{431B3C24-965C-4DA4-8DB7-06DA56B658D3}"/>
    <cellStyle name="Normal 146_Exist Trunk Assets - Ferry" xfId="8895" xr:uid="{A12F2302-7C19-4F5F-8743-537C769DFA7C}"/>
    <cellStyle name="Normal 147" xfId="5203" xr:uid="{11555741-0BA2-4957-A29D-FCDB77C72637}"/>
    <cellStyle name="Normal 147 2" xfId="5204" xr:uid="{6B5FA14B-99DE-460F-A4DE-56E99AB170CE}"/>
    <cellStyle name="Normal 147_Exist Trunk Assets - Ferry" xfId="8896" xr:uid="{22368FB6-0E02-4AC9-BD9E-56E8103ABBE5}"/>
    <cellStyle name="Normal 148" xfId="5205" xr:uid="{0BAA1942-0D0C-46A2-9762-51EC0C1D8016}"/>
    <cellStyle name="Normal 148 2" xfId="5206" xr:uid="{B6072F0E-0613-47F9-9047-7B0582B05EA3}"/>
    <cellStyle name="Normal 148_Exist Trunk Assets - Ferry" xfId="8897" xr:uid="{886C6144-D64C-4BD1-86F6-126320C7564C}"/>
    <cellStyle name="Normal 149" xfId="5207" xr:uid="{5A082F48-1A5F-49A1-A7EE-D6947EACCC8C}"/>
    <cellStyle name="Normal 149 2" xfId="5208" xr:uid="{78A5BDD1-F83B-4F98-B832-68D1CE80EA7A}"/>
    <cellStyle name="Normal 149_Exist Trunk Assets - Ferry" xfId="8898" xr:uid="{23B4DCF0-CC6C-4CD7-969B-7F03E666843B}"/>
    <cellStyle name="Normal 15" xfId="1450" xr:uid="{3C490EFC-1153-41DE-85D9-E0552A4704A5}"/>
    <cellStyle name="Normal 15 2" xfId="1451" xr:uid="{9AC26BB6-4CC5-45A1-AE9B-4B1CA0E9CC13}"/>
    <cellStyle name="Normal 15 2 2" xfId="5209" xr:uid="{A53B01AA-D043-45CA-BA5D-6F2E2A61662E}"/>
    <cellStyle name="Normal 15 2 2 2" xfId="5210" xr:uid="{2E217717-B847-4F2A-9076-81B8667C507B}"/>
    <cellStyle name="Normal 15 2 2_Exist Trunk Assets - Ferry" xfId="8901" xr:uid="{E2C97143-5F9E-4AFE-AB2D-186EC460608B}"/>
    <cellStyle name="Normal 15 2 3" xfId="5211" xr:uid="{47864369-B228-47BD-8FB7-D2388566F857}"/>
    <cellStyle name="Normal 15 2 3 2" xfId="5212" xr:uid="{E33054F7-6905-41E5-B7C6-50D5D1CE2A27}"/>
    <cellStyle name="Normal 15 2 3_Exist Trunk Assets - Ferry" xfId="8902" xr:uid="{E1A10C19-F610-49E5-96B6-CBE16A794264}"/>
    <cellStyle name="Normal 15 2 4" xfId="5213" xr:uid="{CD5DDB26-85E6-4CF5-9DD6-536F50F35CB9}"/>
    <cellStyle name="Normal 15 2_Exist Trunk Assets - Ferry" xfId="8900" xr:uid="{5D2C6860-45FB-48B1-93B0-167D9B56775C}"/>
    <cellStyle name="Normal 15 3" xfId="2349" xr:uid="{D5BF645A-4975-4932-9C32-882C36DCB04C}"/>
    <cellStyle name="Normal 15 3 2" xfId="5214" xr:uid="{CB9CB46B-6BF1-4824-A875-55CE7D41F482}"/>
    <cellStyle name="Normal 15 3 3" xfId="5215" xr:uid="{FDC5734F-EA4C-41DD-9029-FEBEEB8B6265}"/>
    <cellStyle name="Normal 15 3_Exist Trunk Assets - Ferry" xfId="8903" xr:uid="{95430D36-80D9-4F8D-8B78-D151D031E767}"/>
    <cellStyle name="Normal 15 4" xfId="2543" xr:uid="{466B7C38-5371-430B-9CFC-E146AB754A9A}"/>
    <cellStyle name="Normal 15 4 2" xfId="5216" xr:uid="{382CA153-217F-4EDE-98FC-5ACF6F22CDFF}"/>
    <cellStyle name="Normal 15 4 2 2" xfId="5217" xr:uid="{9FB56051-E9E3-42B3-8505-3716993427EB}"/>
    <cellStyle name="Normal 15 4 2_Exist Trunk Assets - Ferry" xfId="8905" xr:uid="{D2B2A8E4-A38F-47CE-9BA6-096AF1B486D7}"/>
    <cellStyle name="Normal 15 4 3" xfId="5218" xr:uid="{6F113B86-A6AE-41D8-8B8D-63B92D16B2D4}"/>
    <cellStyle name="Normal 15 4_Exist Trunk Assets - Ferry" xfId="8904" xr:uid="{3904152A-54D6-412C-A76C-DFB79212464B}"/>
    <cellStyle name="Normal 15 5" xfId="5219" xr:uid="{D91161EF-4EEA-4D20-B434-50E5DAC5FBC5}"/>
    <cellStyle name="Normal 15 5 2" xfId="5220" xr:uid="{98057182-A242-43CA-B22B-1B5A7443D936}"/>
    <cellStyle name="Normal 15 5_Exist Trunk Assets - Ferry" xfId="8906" xr:uid="{981BE788-3804-4DA3-9EAA-FDF4AAB54923}"/>
    <cellStyle name="Normal 15 6" xfId="5221" xr:uid="{0F6A139F-C87A-495A-A17F-166BEFEF6708}"/>
    <cellStyle name="Normal 15_Exist Trunk Assets - Ferry" xfId="8899" xr:uid="{1A79AE9D-AFAE-4C91-9FB8-BA8F312E52F6}"/>
    <cellStyle name="Normal 150" xfId="5222" xr:uid="{3B6D31B6-964A-4261-BBA2-3B84D2A4E1E7}"/>
    <cellStyle name="Normal 150 2" xfId="5223" xr:uid="{6FAE26B3-AB47-4026-A017-48B231078AEB}"/>
    <cellStyle name="Normal 150_Exist Trunk Assets - Ferry" xfId="8907" xr:uid="{FEA45448-11F1-4871-817D-897CA9FD1D7A}"/>
    <cellStyle name="Normal 151" xfId="5224" xr:uid="{4C9B7BB0-F85E-43EC-AED4-0670A890C48E}"/>
    <cellStyle name="Normal 151 2" xfId="5225" xr:uid="{6DC171C5-0868-45B6-8EE1-94461C9BCA7C}"/>
    <cellStyle name="Normal 151_Exist Trunk Assets - Ferry" xfId="8908" xr:uid="{9F87BE2C-C4D9-421F-BB6F-E804D197B4BC}"/>
    <cellStyle name="Normal 152" xfId="5226" xr:uid="{B59861DA-046C-4C03-AEFA-06AE95DC0F5C}"/>
    <cellStyle name="Normal 152 2" xfId="5227" xr:uid="{6AF0C2E5-22AE-4DF8-A8AE-BB91CD0FE3D4}"/>
    <cellStyle name="Normal 152_Exist Trunk Assets - Ferry" xfId="8909" xr:uid="{D8511CB3-3FB9-43AB-B85F-B941F0A937A6}"/>
    <cellStyle name="Normal 153" xfId="5228" xr:uid="{DDFABE6F-6E40-48B7-BC42-628CC5BE17DA}"/>
    <cellStyle name="Normal 153 2" xfId="5229" xr:uid="{39363E00-AA2E-4604-8363-27208F9F2EFF}"/>
    <cellStyle name="Normal 153 3" xfId="5230" xr:uid="{F7D76250-7431-4A59-8B84-28DB4573E3A9}"/>
    <cellStyle name="Normal 153_Exist Trunk Assets - Ferry" xfId="8910" xr:uid="{9EFB031B-CEEB-4B35-BEFC-0F539997CE85}"/>
    <cellStyle name="Normal 154" xfId="5231" xr:uid="{8BA3C4BC-D13E-4829-BD1D-AD90A3DFCE03}"/>
    <cellStyle name="Normal 154 2" xfId="5232" xr:uid="{B049C8B9-643C-40A5-B254-AE64DEB07678}"/>
    <cellStyle name="Normal 154_Exist Trunk Assets - Ferry" xfId="8911" xr:uid="{0EB75CA1-B5CC-4019-916C-DF2BC7F6F4EE}"/>
    <cellStyle name="Normal 155" xfId="5233" xr:uid="{D1224D05-37F0-40DE-9AFC-563D9A8F8ED6}"/>
    <cellStyle name="Normal 155 2" xfId="5234" xr:uid="{9A8A7A0E-A87B-454C-8B50-641303FD8673}"/>
    <cellStyle name="Normal 155_Exist Trunk Assets - Ferry" xfId="8912" xr:uid="{BDEA8DE3-8C73-475E-8D16-EB19AC8EACC9}"/>
    <cellStyle name="Normal 156" xfId="5235" xr:uid="{3B62C5B5-B44B-41A7-BE68-E3801BF87F49}"/>
    <cellStyle name="Normal 156 2" xfId="5236" xr:uid="{595E9874-4D59-4DF0-8120-854AB061B1AA}"/>
    <cellStyle name="Normal 156_Exist Trunk Assets - Ferry" xfId="8913" xr:uid="{059284B4-AB7B-4012-99B1-40DC5D2D499A}"/>
    <cellStyle name="Normal 157" xfId="5237" xr:uid="{2F8DC6B3-D09C-4171-A675-61407DD0113E}"/>
    <cellStyle name="Normal 157 2" xfId="5238" xr:uid="{83881CC3-1467-4D9A-935E-1B4090A6C6D2}"/>
    <cellStyle name="Normal 157_Exist Trunk Assets - Ferry" xfId="8914" xr:uid="{107F34B2-EC08-4953-AFE7-B779A32F2BB0}"/>
    <cellStyle name="Normal 158" xfId="5239" xr:uid="{9D13B71A-B7B0-4F86-A572-F6D6CD44482D}"/>
    <cellStyle name="Normal 158 2" xfId="5240" xr:uid="{D1ADEB11-D211-47CC-BC4E-3C47623EC3D2}"/>
    <cellStyle name="Normal 158_Exist Trunk Assets - Ferry" xfId="8915" xr:uid="{8B4AB90B-C588-4EB5-92A5-A5D5D3392074}"/>
    <cellStyle name="Normal 159" xfId="5241" xr:uid="{2538590B-B0A3-4303-98FB-CE993F4B9660}"/>
    <cellStyle name="Normal 159 2" xfId="5242" xr:uid="{3B119F57-CF84-4676-BBF3-C6F03FBF59FC}"/>
    <cellStyle name="Normal 159_Exist Trunk Assets - Ferry" xfId="8916" xr:uid="{3C77304C-BC91-499D-A8EA-318664DB618F}"/>
    <cellStyle name="Normal 16" xfId="1452" xr:uid="{3A1638FD-8FFF-42C9-86F6-F20A26CC0B34}"/>
    <cellStyle name="Normal 16 2" xfId="1453" xr:uid="{E170D5E0-17AE-4BDA-B69F-774C2D6E1A1E}"/>
    <cellStyle name="Normal 16 2 2" xfId="5243" xr:uid="{D0CAE576-D389-4C52-A74C-AE16DA45F16D}"/>
    <cellStyle name="Normal 16 2 2 2" xfId="5244" xr:uid="{B7AB7B06-669C-4437-B657-C21EC414498C}"/>
    <cellStyle name="Normal 16 2 2_Exist Trunk Assets - Ferry" xfId="8919" xr:uid="{9AE41584-A825-4D06-99E4-102D4F20601A}"/>
    <cellStyle name="Normal 16 2 3" xfId="5245" xr:uid="{523794DF-D16D-4FEC-8F1D-C032EF2A307D}"/>
    <cellStyle name="Normal 16 2 3 2" xfId="5246" xr:uid="{5E78BED2-6AE2-4528-95E8-1D813A9EBB7D}"/>
    <cellStyle name="Normal 16 2 3_Exist Trunk Assets - Ferry" xfId="8920" xr:uid="{913A7990-8457-44AF-AB93-B23B9E6598B2}"/>
    <cellStyle name="Normal 16 2 4" xfId="5247" xr:uid="{A993CC1B-4E30-40C9-A9F6-4C99C020BB26}"/>
    <cellStyle name="Normal 16 2_Exist Trunk Assets - Ferry" xfId="8918" xr:uid="{36115167-6D0D-49C2-97A0-B1B878401837}"/>
    <cellStyle name="Normal 16 3" xfId="2350" xr:uid="{76BC25F6-3621-4DE9-B262-31BC04DFCDA1}"/>
    <cellStyle name="Normal 16 3 2" xfId="5248" xr:uid="{0EADC021-1ADE-478B-9BB9-C88C042D7D78}"/>
    <cellStyle name="Normal 16 3 3" xfId="5249" xr:uid="{C933CF26-A98F-4E56-9216-27DDD3FF1D03}"/>
    <cellStyle name="Normal 16 3_Exist Trunk Assets - Ferry" xfId="8921" xr:uid="{C5702AC5-A60D-47E2-A1EB-0AD69F3F6A7F}"/>
    <cellStyle name="Normal 16 4" xfId="2544" xr:uid="{F8ADB38E-DAB9-4642-A284-A613EE137880}"/>
    <cellStyle name="Normal 16 4 2" xfId="5250" xr:uid="{F68AEF6E-9CD8-49B4-8042-610B8D91FDA1}"/>
    <cellStyle name="Normal 16 4 2 2" xfId="5251" xr:uid="{806B50D1-04EA-4C42-9D95-9A16212B8817}"/>
    <cellStyle name="Normal 16 4 2_Exist Trunk Assets - Ferry" xfId="8923" xr:uid="{BEC8B810-8E64-477E-832D-CEF3636B2A14}"/>
    <cellStyle name="Normal 16 4 3" xfId="5252" xr:uid="{EB75A3C8-0D2A-4934-B3E5-A9DC01A5E034}"/>
    <cellStyle name="Normal 16 4_Exist Trunk Assets - Ferry" xfId="8922" xr:uid="{B3B93D8B-E0ED-4BA8-8DBB-935AC69D5EC9}"/>
    <cellStyle name="Normal 16 5" xfId="5253" xr:uid="{D6513E70-3375-47EC-8801-54204CA5C75B}"/>
    <cellStyle name="Normal 16 5 2" xfId="5254" xr:uid="{74904266-ABF8-4E2D-8320-D5F10D7246BA}"/>
    <cellStyle name="Normal 16 5_Exist Trunk Assets - Ferry" xfId="8924" xr:uid="{6D4E8B21-8C2E-401A-A61C-58A68F307BAA}"/>
    <cellStyle name="Normal 16 6" xfId="5255" xr:uid="{16F88983-0BAA-437E-A897-25278AC1C791}"/>
    <cellStyle name="Normal 16_Exist Trunk Assets - Ferry" xfId="8917" xr:uid="{0A8576BB-C63D-4FD0-B5F3-36C0F625E5EE}"/>
    <cellStyle name="Normal 160" xfId="5256" xr:uid="{BD49B6E7-3D4F-4E4F-B4E0-8C029EEF8A72}"/>
    <cellStyle name="Normal 160 2" xfId="5257" xr:uid="{F32304AB-4A75-45CA-9A4E-5FF5EFD2A18C}"/>
    <cellStyle name="Normal 160_Exist Trunk Assets - Ferry" xfId="8925" xr:uid="{6BAA634F-0047-4995-B164-80D49D5919D1}"/>
    <cellStyle name="Normal 161" xfId="5258" xr:uid="{4BD73C83-D3E5-4033-81EC-87ECE4309C54}"/>
    <cellStyle name="Normal 161 2" xfId="5259" xr:uid="{FFAA28F9-0B21-4511-9154-4000541C2934}"/>
    <cellStyle name="Normal 161_Exist Trunk Assets - Ferry" xfId="8926" xr:uid="{439C44F9-2E4D-4337-8F16-ABE20E3FFD45}"/>
    <cellStyle name="Normal 162" xfId="5260" xr:uid="{8F95CCEB-AF01-47B4-B459-06356718C4E1}"/>
    <cellStyle name="Normal 162 2" xfId="5261" xr:uid="{347294BB-3581-48C3-BA9B-A9E05A15DDBA}"/>
    <cellStyle name="Normal 162_Exist Trunk Assets - Ferry" xfId="8927" xr:uid="{5DA80E17-3BC6-4A49-8744-E18A163EBC65}"/>
    <cellStyle name="Normal 163" xfId="5262" xr:uid="{E3EDC766-7EF6-4BE2-827C-9DC98064CB2A}"/>
    <cellStyle name="Normal 163 2" xfId="5263" xr:uid="{223D61FF-2829-4946-A7A8-0B2E9DED6943}"/>
    <cellStyle name="Normal 163_Exist Trunk Assets - Ferry" xfId="8928" xr:uid="{25979E82-748B-4034-BF47-C7503DFB4166}"/>
    <cellStyle name="Normal 164" xfId="5264" xr:uid="{D605B737-F67C-4CAC-A395-057BE8E6DCBD}"/>
    <cellStyle name="Normal 164 2" xfId="5265" xr:uid="{824D5BBE-3EF3-492B-8191-F2742865E49E}"/>
    <cellStyle name="Normal 164_Exist Trunk Assets - Ferry" xfId="8929" xr:uid="{D17BB7DC-00E1-4A5A-A9F1-A45DE6FF9423}"/>
    <cellStyle name="Normal 165" xfId="5266" xr:uid="{D450186E-D31D-4282-A85F-0134A6262E9F}"/>
    <cellStyle name="Normal 165 2" xfId="5267" xr:uid="{FA33AD4C-D2BC-4FA7-8A09-A259C26382AA}"/>
    <cellStyle name="Normal 165_Exist Trunk Assets - Ferry" xfId="8930" xr:uid="{66A4120B-C7D5-4C46-BFAB-EB932B024511}"/>
    <cellStyle name="Normal 166" xfId="5268" xr:uid="{B0D77A22-402C-44FB-A6F0-BA6F21824943}"/>
    <cellStyle name="Normal 166 2" xfId="5269" xr:uid="{427A2741-2FEC-467C-9B7E-9BD5A4B5618F}"/>
    <cellStyle name="Normal 166_Exist Trunk Assets - Ferry" xfId="8931" xr:uid="{33A17A43-4A95-4CFD-988F-07F7EDFB4786}"/>
    <cellStyle name="Normal 167" xfId="5270" xr:uid="{4401B0C7-C9FD-45B2-B57C-CF7D46707B3A}"/>
    <cellStyle name="Normal 167 2" xfId="5271" xr:uid="{B6BD53B7-F8B6-4113-BE28-052E57C359F6}"/>
    <cellStyle name="Normal 167_Exist Trunk Assets - Ferry" xfId="8932" xr:uid="{04E3AE50-DAE2-4547-8BB0-CBD67EEEDAB8}"/>
    <cellStyle name="Normal 168" xfId="5272" xr:uid="{0C75AA31-5726-4BDB-B271-D87BFEAD27AF}"/>
    <cellStyle name="Normal 168 2" xfId="5273" xr:uid="{CA6D4BA7-8F3D-42EF-9F65-06AC195CF2D6}"/>
    <cellStyle name="Normal 168_Exist Trunk Assets - Ferry" xfId="8933" xr:uid="{66AF5797-BEBE-4E58-BB6D-F2F1508C0E72}"/>
    <cellStyle name="Normal 169" xfId="5274" xr:uid="{7EE7ACFF-73E0-412A-AF6C-6B2581FB74A3}"/>
    <cellStyle name="Normal 169 2" xfId="5275" xr:uid="{85F8F14C-6F42-4523-89BE-D59CB3E7DD1D}"/>
    <cellStyle name="Normal 169_Exist Trunk Assets - Ferry" xfId="8934" xr:uid="{40943E19-A991-406A-9048-2FF0E23D101F}"/>
    <cellStyle name="Normal 17" xfId="1454" xr:uid="{8E00E19F-C12A-4E74-8035-871875BF15A7}"/>
    <cellStyle name="Normal 17 2" xfId="1455" xr:uid="{077429FB-88CE-4BFB-9299-241687020628}"/>
    <cellStyle name="Normal 17 2 2" xfId="5276" xr:uid="{0612F132-929C-4F01-BAF0-83CE40142EB6}"/>
    <cellStyle name="Normal 17 2 2 2" xfId="5277" xr:uid="{42043ADC-2BA8-4F76-B1FF-35A7C5C708BA}"/>
    <cellStyle name="Normal 17 2 2_Exist Trunk Assets - Ferry" xfId="8937" xr:uid="{9BEBB0C9-6054-4FA7-B14C-C73DCB3997B8}"/>
    <cellStyle name="Normal 17 2 3" xfId="5278" xr:uid="{DE8942EE-DA42-41BB-B576-CF32A5CE7F63}"/>
    <cellStyle name="Normal 17 2 3 2" xfId="5279" xr:uid="{542B0CCE-8A32-450C-8A62-8D10BF1FE154}"/>
    <cellStyle name="Normal 17 2 3_Exist Trunk Assets - Ferry" xfId="8938" xr:uid="{BF01BDD2-5F6B-4E0C-B6EA-AA75FFA234D1}"/>
    <cellStyle name="Normal 17 2 4" xfId="5280" xr:uid="{E4043387-8AAC-4B2E-8F25-19A37575DCE7}"/>
    <cellStyle name="Normal 17 2_Exist Trunk Assets - Ferry" xfId="8936" xr:uid="{14D1D990-C2DC-4824-A9AD-501A3B824D86}"/>
    <cellStyle name="Normal 17 3" xfId="2351" xr:uid="{2DC93B37-F570-49A5-9349-850CE43E59C3}"/>
    <cellStyle name="Normal 17 3 2" xfId="5281" xr:uid="{7C56E1BA-5D60-462E-9215-771B61353611}"/>
    <cellStyle name="Normal 17 3 3" xfId="5282" xr:uid="{F7A9FFC3-35D1-4342-9E81-FCC190769170}"/>
    <cellStyle name="Normal 17 3_Exist Trunk Assets - Ferry" xfId="8939" xr:uid="{066C3E38-14C8-40FE-A7E3-BD0262D8C3A5}"/>
    <cellStyle name="Normal 17 4" xfId="2545" xr:uid="{7AF7A697-17B0-4AFA-B5DA-573FE98CF90E}"/>
    <cellStyle name="Normal 17 4 2" xfId="5283" xr:uid="{A6966DBB-414F-4EA1-9566-236506EF00E8}"/>
    <cellStyle name="Normal 17 4 2 2" xfId="5284" xr:uid="{1F69F582-B0C4-44EC-B88F-40888211B626}"/>
    <cellStyle name="Normal 17 4 2_Exist Trunk Assets - Ferry" xfId="8941" xr:uid="{0D8382CD-5449-4BFF-94C9-2B247C80E399}"/>
    <cellStyle name="Normal 17 4 3" xfId="5285" xr:uid="{79116353-5D00-4DAC-B2E2-745BB85E6F67}"/>
    <cellStyle name="Normal 17 4_Exist Trunk Assets - Ferry" xfId="8940" xr:uid="{AEFCFFD5-9AAB-4930-82DC-896CE9FA5330}"/>
    <cellStyle name="Normal 17 5" xfId="5286" xr:uid="{3FE81E03-CDE3-4792-8341-E8F4D67C48B4}"/>
    <cellStyle name="Normal 17 5 2" xfId="5287" xr:uid="{1CA9EB8A-EBF9-414D-86BC-214E105AFBFE}"/>
    <cellStyle name="Normal 17 5_Exist Trunk Assets - Ferry" xfId="8942" xr:uid="{587C37DF-80F8-446A-B8A8-B1F6A4483363}"/>
    <cellStyle name="Normal 17 6" xfId="5288" xr:uid="{4DAD1EFF-5180-4027-94FD-7837C7380651}"/>
    <cellStyle name="Normal 17 7" xfId="8161" xr:uid="{878E7FC1-0836-452C-A17A-987AB80F5E7A}"/>
    <cellStyle name="Normal 17_Exist Trunk Assets - Ferry" xfId="8935" xr:uid="{9D572687-77D2-40D5-B79B-B54D67B4E5C8}"/>
    <cellStyle name="Normal 170" xfId="5289" xr:uid="{932D05B5-6793-4454-92DC-439A152236E8}"/>
    <cellStyle name="Normal 170 2" xfId="5290" xr:uid="{8EA23198-9055-4B78-84C1-31DEF2B105E6}"/>
    <cellStyle name="Normal 170_Exist Trunk Assets - Ferry" xfId="8943" xr:uid="{33294587-E0F3-48E9-B134-4864B2F164CA}"/>
    <cellStyle name="Normal 171" xfId="5291" xr:uid="{4B9E2554-93AD-41C5-9DE9-16C40E5FC55D}"/>
    <cellStyle name="Normal 171 2" xfId="5292" xr:uid="{5F113FAA-8923-43EA-A07D-C2399A7C43EE}"/>
    <cellStyle name="Normal 171_Exist Trunk Assets - Ferry" xfId="8944" xr:uid="{C7E791F8-9785-4AA5-9C67-F9D9F34781B4}"/>
    <cellStyle name="Normal 172" xfId="5293" xr:uid="{0200F747-D540-4378-8B06-CE7DDA011520}"/>
    <cellStyle name="Normal 172 2" xfId="5294" xr:uid="{EE300EEC-9B0A-4F90-ADB4-94CA41B2DE3E}"/>
    <cellStyle name="Normal 172_Exist Trunk Assets - Ferry" xfId="8945" xr:uid="{B8FBD92E-B3F4-484F-8A88-0C09AFC24319}"/>
    <cellStyle name="Normal 173" xfId="5295" xr:uid="{BEDC6958-3C8B-4111-BF8C-5EE460B1D99B}"/>
    <cellStyle name="Normal 173 2" xfId="5296" xr:uid="{416901D5-130E-4333-A67C-8EFA7EA4702B}"/>
    <cellStyle name="Normal 173_Exist Trunk Assets - Ferry" xfId="8946" xr:uid="{8C797D02-A1FF-437D-A113-15AE82AFDAA7}"/>
    <cellStyle name="Normal 174" xfId="5297" xr:uid="{803705DC-F844-49CD-839A-36F7A5529898}"/>
    <cellStyle name="Normal 174 2" xfId="5298" xr:uid="{5E031C41-7C02-43DF-B7AE-04950174B9CC}"/>
    <cellStyle name="Normal 174_Exist Trunk Assets - Ferry" xfId="8947" xr:uid="{798C1656-0DF2-49A8-8BB3-ACB52F3B74B9}"/>
    <cellStyle name="Normal 175" xfId="5299" xr:uid="{81592663-3827-4BE8-A778-3A282C6E8ADE}"/>
    <cellStyle name="Normal 175 2" xfId="5300" xr:uid="{583C2E8D-8C1D-4848-96DC-BB1239F43D24}"/>
    <cellStyle name="Normal 175_Exist Trunk Assets - Ferry" xfId="8948" xr:uid="{CC78F09D-E948-4BC0-B29E-ECF8A31700A4}"/>
    <cellStyle name="Normal 176" xfId="5301" xr:uid="{C9A9F0FB-2E81-48C3-9801-070ADC035052}"/>
    <cellStyle name="Normal 176 2" xfId="5302" xr:uid="{81B88680-337D-4D57-99B2-EAC05A47F246}"/>
    <cellStyle name="Normal 176_Exist Trunk Assets - Ferry" xfId="8949" xr:uid="{1018B0C3-A4DA-42D4-90A4-B7F696A740D1}"/>
    <cellStyle name="Normal 177" xfId="5303" xr:uid="{E566AA26-FBFD-4C02-98A9-E770B2F11729}"/>
    <cellStyle name="Normal 178" xfId="5304" xr:uid="{7C790738-34B4-4A7A-98F5-254F826C9526}"/>
    <cellStyle name="Normal 178 2" xfId="5305" xr:uid="{B7C5F591-3BBF-4EFC-8B7A-DD9E022D5522}"/>
    <cellStyle name="Normal 178_Exist Trunk Assets - Ferry" xfId="8950" xr:uid="{2C52CA00-9D1D-4724-BD96-5E6897D7306F}"/>
    <cellStyle name="Normal 179" xfId="5306" xr:uid="{8CECB3FA-815B-49D2-B934-4F758CF45532}"/>
    <cellStyle name="Normal 179 2" xfId="5307" xr:uid="{8BD6E3C2-1B27-4903-8263-06CE475123EA}"/>
    <cellStyle name="Normal 179_Exist Trunk Assets - Ferry" xfId="8951" xr:uid="{DFB3B902-09C4-4353-8903-CE8EDF4286D2}"/>
    <cellStyle name="Normal 18" xfId="1456" xr:uid="{DB4747DF-B1CE-4845-9D82-559C12C71823}"/>
    <cellStyle name="Normal 18 2" xfId="1457" xr:uid="{C693F472-A691-4624-BEB3-26612DC0F840}"/>
    <cellStyle name="Normal 18 2 2" xfId="5308" xr:uid="{70D8F947-5AFC-4EFA-8392-E979FF74185D}"/>
    <cellStyle name="Normal 18 2 2 2" xfId="5309" xr:uid="{77FABFD7-58A9-43ED-91F4-CB2C1D21B2EA}"/>
    <cellStyle name="Normal 18 2 2_Exist Trunk Assets - Ferry" xfId="8954" xr:uid="{3F1DCB4D-7DD9-4F28-9A8A-51CB2E82E543}"/>
    <cellStyle name="Normal 18 2 3" xfId="5310" xr:uid="{F9711BA8-7470-49CA-97A9-E325713151F4}"/>
    <cellStyle name="Normal 18 2 3 2" xfId="5311" xr:uid="{8A898BF1-6F71-487F-B42D-65D5033BDB95}"/>
    <cellStyle name="Normal 18 2 3_Exist Trunk Assets - Ferry" xfId="8955" xr:uid="{88253572-9D12-4AAE-9501-6209695C2B44}"/>
    <cellStyle name="Normal 18 2 4" xfId="5312" xr:uid="{DF1598F6-47D2-4144-B01D-1D91CC592076}"/>
    <cellStyle name="Normal 18 2_Exist Trunk Assets - Ferry" xfId="8953" xr:uid="{172E09F1-9F85-490C-99EB-0142874F0762}"/>
    <cellStyle name="Normal 18 3" xfId="2352" xr:uid="{FE2EDD91-1B59-4BA9-B018-1EE9C7BEFC99}"/>
    <cellStyle name="Normal 18 3 2" xfId="5313" xr:uid="{5E1AAB29-FB9F-4CF1-A6BC-FC6411CBD423}"/>
    <cellStyle name="Normal 18 3 3" xfId="5314" xr:uid="{531F6908-273C-4FAB-B5F7-779295BAFDC4}"/>
    <cellStyle name="Normal 18 3_Exist Trunk Assets - Ferry" xfId="8956" xr:uid="{84555A16-A5D4-485C-9020-CB9AF0FC24E8}"/>
    <cellStyle name="Normal 18 4" xfId="2546" xr:uid="{0EC931B9-E327-4D52-BA52-FEF3011257A0}"/>
    <cellStyle name="Normal 18 4 2" xfId="5315" xr:uid="{4D627F9E-23A0-4EE4-B531-3FEE050F9904}"/>
    <cellStyle name="Normal 18 4 2 2" xfId="5316" xr:uid="{2B7F3520-87D7-4C1D-98C4-9FDABF809ED9}"/>
    <cellStyle name="Normal 18 4 2_Exist Trunk Assets - Ferry" xfId="8958" xr:uid="{7E2F8065-90DA-4B6E-A1D9-E45CBEF59331}"/>
    <cellStyle name="Normal 18 4 3" xfId="5317" xr:uid="{73F9C1DB-047C-4BDD-80B8-D0D713F236FA}"/>
    <cellStyle name="Normal 18 4_Exist Trunk Assets - Ferry" xfId="8957" xr:uid="{7149102C-782A-4D9A-9D6B-AAC700A81CDD}"/>
    <cellStyle name="Normal 18 5" xfId="5318" xr:uid="{90AD19D6-2DB9-4FF0-B82C-396E751B5846}"/>
    <cellStyle name="Normal 18 5 2" xfId="5319" xr:uid="{BE7F3A2B-1944-49AC-92E4-EFF74868E8B8}"/>
    <cellStyle name="Normal 18 5_Exist Trunk Assets - Ferry" xfId="8959" xr:uid="{6963B321-6EBD-4807-A7AC-C9AC3188F3BA}"/>
    <cellStyle name="Normal 18 6" xfId="5320" xr:uid="{2F4B63E6-FA91-4373-A076-11EB61000FA9}"/>
    <cellStyle name="Normal 18_Exist Trunk Assets - Ferry" xfId="8952" xr:uid="{8C6C9722-49B9-461F-B437-3E28CBD85343}"/>
    <cellStyle name="Normal 180" xfId="5321" xr:uid="{EA216820-7C50-4DF3-B005-7A8DB8AFB4AA}"/>
    <cellStyle name="Normal 180 2" xfId="5322" xr:uid="{2D470289-7153-409F-9AD2-B5B358C6878D}"/>
    <cellStyle name="Normal 180_Exist Trunk Assets - Ferry" xfId="8960" xr:uid="{B6EEFB26-6CF3-44DF-85DD-E62C0944B127}"/>
    <cellStyle name="Normal 181" xfId="5323" xr:uid="{CD27152C-97FC-495E-A4CE-087FDD6538B7}"/>
    <cellStyle name="Normal 181 2" xfId="5324" xr:uid="{8270B65F-9713-4F96-B705-5FDFC66ABA64}"/>
    <cellStyle name="Normal 181_Exist Trunk Assets - Ferry" xfId="8961" xr:uid="{47D02897-FF0C-4388-8CDA-61022E2522FC}"/>
    <cellStyle name="Normal 182" xfId="5325" xr:uid="{D61CA3B5-B75F-48B7-A033-86D68270DD4F}"/>
    <cellStyle name="Normal 182 2" xfId="5326" xr:uid="{D25327B8-CB3E-4961-8EE6-DE5E2186A307}"/>
    <cellStyle name="Normal 182_Exist Trunk Assets - Ferry" xfId="8962" xr:uid="{1BF7B656-C81F-40E4-BA83-CDB6BA4D2D4D}"/>
    <cellStyle name="Normal 183" xfId="5327" xr:uid="{DA02FC7A-60FE-4875-8420-343F93475297}"/>
    <cellStyle name="Normal 183 2" xfId="5328" xr:uid="{04CD3670-2380-4F14-8D51-CBEB9766444C}"/>
    <cellStyle name="Normal 183_Exist Trunk Assets - Ferry" xfId="8963" xr:uid="{B0ECE370-8D16-4D35-B606-9EF945A24760}"/>
    <cellStyle name="Normal 184" xfId="5329" xr:uid="{42A1A87A-3F27-44E3-BEB6-33413D193AC2}"/>
    <cellStyle name="Normal 184 2" xfId="5330" xr:uid="{056DF720-57BC-4DED-B4F8-0B9B79858059}"/>
    <cellStyle name="Normal 184_Exist Trunk Assets - Ferry" xfId="8964" xr:uid="{245CF98F-02AA-4F16-B108-509F4BEC6645}"/>
    <cellStyle name="Normal 185" xfId="5331" xr:uid="{CECA4931-DE10-4AB4-8FE4-9ECA4EA053C6}"/>
    <cellStyle name="Normal 185 2" xfId="5332" xr:uid="{AAD006A1-3BA3-4ADC-BB9A-EA4DDDAB1433}"/>
    <cellStyle name="Normal 185_Exist Trunk Assets - Ferry" xfId="8965" xr:uid="{71B42FBF-85C5-43F8-861E-CE10AB050231}"/>
    <cellStyle name="Normal 186" xfId="5333" xr:uid="{40B93006-06D4-4439-97B9-A45B4CD9878E}"/>
    <cellStyle name="Normal 186 2" xfId="5334" xr:uid="{4B4EF268-883A-4DB0-9469-CD363B8C0BA9}"/>
    <cellStyle name="Normal 186_Exist Trunk Assets - Ferry" xfId="8966" xr:uid="{541F87A6-6D17-491C-AEA7-4125072E97F4}"/>
    <cellStyle name="Normal 187" xfId="5335" xr:uid="{2A980453-26EF-4C09-AB3F-17EFBE8A50E0}"/>
    <cellStyle name="Normal 187 2" xfId="5336" xr:uid="{2A0D2FB4-84A3-435D-85B3-0215659BC53B}"/>
    <cellStyle name="Normal 187_Exist Trunk Assets - Ferry" xfId="8967" xr:uid="{3E75CA4D-1EF8-4F51-857A-BB7D10B91DD4}"/>
    <cellStyle name="Normal 188" xfId="5337" xr:uid="{B66170B7-A407-445F-B6D9-681311E503CB}"/>
    <cellStyle name="Normal 188 2" xfId="5338" xr:uid="{2C0960BE-1FF1-48C9-89F1-2AB064E1F19D}"/>
    <cellStyle name="Normal 188_Exist Trunk Assets - Ferry" xfId="8968" xr:uid="{940E8AFC-2101-48C6-B705-29BD04267510}"/>
    <cellStyle name="Normal 189" xfId="5339" xr:uid="{5A9F884C-5E05-4752-860C-474C48539EDA}"/>
    <cellStyle name="Normal 189 2" xfId="5340" xr:uid="{93CD294C-9F9F-4A8E-8299-3596A0B71D6F}"/>
    <cellStyle name="Normal 189_Exist Trunk Assets - Ferry" xfId="8969" xr:uid="{9201A27A-3613-424C-BF40-8C7DD7C6702F}"/>
    <cellStyle name="Normal 19" xfId="1458" xr:uid="{2B8E0181-49C8-4562-885C-99587630FB81}"/>
    <cellStyle name="Normal 19 2" xfId="1459" xr:uid="{24440374-016C-4671-BCE1-B836DDECDD9A}"/>
    <cellStyle name="Normal 19 2 2" xfId="5341" xr:uid="{52FEFC10-BE9D-4E3C-9982-B852791D7368}"/>
    <cellStyle name="Normal 19 2 2 2" xfId="5342" xr:uid="{80F0F0F9-5001-4CC2-9283-5D4D9B62695E}"/>
    <cellStyle name="Normal 19 2 2_Exist Trunk Assets - Ferry" xfId="8972" xr:uid="{59AD2686-8B64-4D66-9663-1ACDF1C63B1A}"/>
    <cellStyle name="Normal 19 2 3" xfId="5343" xr:uid="{AAF07DC9-0C75-4E66-ACF4-6597787F4205}"/>
    <cellStyle name="Normal 19 2 3 2" xfId="5344" xr:uid="{B652A50E-549B-4DAD-8B33-FD4EB6AC83FF}"/>
    <cellStyle name="Normal 19 2 3_Exist Trunk Assets - Ferry" xfId="8973" xr:uid="{3F056CEC-3DFE-443C-9676-18DD7D50BA9C}"/>
    <cellStyle name="Normal 19 2 4" xfId="5345" xr:uid="{0F56CA97-B7A2-4C39-A02E-BF131714E596}"/>
    <cellStyle name="Normal 19 2_Exist Trunk Assets - Ferry" xfId="8971" xr:uid="{ED4E0576-10B5-4A06-B1CA-2C6F69233220}"/>
    <cellStyle name="Normal 19 3" xfId="2353" xr:uid="{76356323-85EC-4B10-8353-7F01F92FAB2F}"/>
    <cellStyle name="Normal 19 3 2" xfId="5346" xr:uid="{03B56611-D316-48E6-A413-9DCEC7A1567C}"/>
    <cellStyle name="Normal 19 3 3" xfId="5347" xr:uid="{64C287EE-F49A-4B81-A272-347205056977}"/>
    <cellStyle name="Normal 19 3_Exist Trunk Assets - Ferry" xfId="8974" xr:uid="{FA7F4A00-ECD1-4716-8DE2-E34F0D3E5212}"/>
    <cellStyle name="Normal 19 4" xfId="2547" xr:uid="{976F147F-3546-48C6-A999-15E205E3433A}"/>
    <cellStyle name="Normal 19 4 2" xfId="5348" xr:uid="{A017ECE3-627B-4330-AE3D-C01B5528C199}"/>
    <cellStyle name="Normal 19 4 2 2" xfId="5349" xr:uid="{23A57123-E855-4BD1-8A54-45C20B0635C4}"/>
    <cellStyle name="Normal 19 4 2_Exist Trunk Assets - Ferry" xfId="8976" xr:uid="{28F3BBE0-AA8D-497E-A2A9-0D90958992C6}"/>
    <cellStyle name="Normal 19 4 3" xfId="5350" xr:uid="{077494A4-98F0-4E70-A098-E6D4B66EEAF5}"/>
    <cellStyle name="Normal 19 4_Exist Trunk Assets - Ferry" xfId="8975" xr:uid="{4ED3B1EC-D0C4-4BD9-9868-3FC12C561093}"/>
    <cellStyle name="Normal 19 5" xfId="5351" xr:uid="{FAC36A89-2062-44B6-854B-CE45CD04754E}"/>
    <cellStyle name="Normal 19 5 2" xfId="5352" xr:uid="{FA796065-CC77-4464-B9E1-E53194C1D547}"/>
    <cellStyle name="Normal 19 5_Exist Trunk Assets - Ferry" xfId="8977" xr:uid="{C66C5C37-7C60-4841-A345-E1E751150A0F}"/>
    <cellStyle name="Normal 19 6" xfId="5353" xr:uid="{E7E0D84E-3F96-4C6D-8A6A-17FBADD64B8C}"/>
    <cellStyle name="Normal 19_Exist Trunk Assets - Ferry" xfId="8970" xr:uid="{9C8F8DAB-B443-4FD7-82F5-AC31961831F1}"/>
    <cellStyle name="Normal 190" xfId="5354" xr:uid="{E2F42463-C013-4F18-89C5-A4D9712BB359}"/>
    <cellStyle name="Normal 190 2" xfId="5355" xr:uid="{A16A0718-3684-4530-AA50-D72FE4324C64}"/>
    <cellStyle name="Normal 190_Exist Trunk Assets - Ferry" xfId="8978" xr:uid="{7B615DD5-7216-4F58-943F-9AE7AEA809A3}"/>
    <cellStyle name="Normal 191" xfId="5356" xr:uid="{3EBA6E10-057E-4705-9C82-45A29579F707}"/>
    <cellStyle name="Normal 191 2" xfId="5357" xr:uid="{2BEC933E-908B-4CCE-BDE3-DD6FD0CB43EE}"/>
    <cellStyle name="Normal 191_Exist Trunk Assets - Ferry" xfId="8979" xr:uid="{E70218FB-08B7-4063-BBD3-96D4EA2A8FDE}"/>
    <cellStyle name="Normal 192" xfId="5358" xr:uid="{B4DDF769-A8FD-421A-B3BA-C0C21258521B}"/>
    <cellStyle name="Normal 192 2" xfId="5359" xr:uid="{AAE0A7D1-A114-47CD-8515-9A353C429182}"/>
    <cellStyle name="Normal 192_Exist Trunk Assets - Ferry" xfId="8980" xr:uid="{489E16D9-D946-4E73-88FC-631B633754A9}"/>
    <cellStyle name="Normal 193" xfId="5360" xr:uid="{45E7F5E7-B481-48FF-A9CF-CEC8ED82F1E5}"/>
    <cellStyle name="Normal 193 2" xfId="5361" xr:uid="{FD2B68BB-D150-424A-8EBC-2BA8AA4AF1B1}"/>
    <cellStyle name="Normal 193_Exist Trunk Assets - Ferry" xfId="8981" xr:uid="{D08E60BB-8DD3-4EC1-A936-97566EA55343}"/>
    <cellStyle name="Normal 194" xfId="5362" xr:uid="{408AB691-2441-47E7-8F0E-517832D21D51}"/>
    <cellStyle name="Normal 194 2" xfId="5363" xr:uid="{8F57247F-109F-4C52-A5D8-6E75EE1FCE6C}"/>
    <cellStyle name="Normal 194_Exist Trunk Assets - Ferry" xfId="8982" xr:uid="{9919BE29-09CA-4EB5-9A33-C727AC5E58B7}"/>
    <cellStyle name="Normal 195" xfId="5364" xr:uid="{CCA7021B-446C-4E98-A81D-A57D45B075BA}"/>
    <cellStyle name="Normal 195 2" xfId="5365" xr:uid="{7ECEBF4F-3B56-438F-9229-3F4C791266B8}"/>
    <cellStyle name="Normal 195_Exist Trunk Assets - Ferry" xfId="8983" xr:uid="{9A38A1C9-82F0-4A28-8E6F-74758CF52C66}"/>
    <cellStyle name="Normal 196" xfId="5366" xr:uid="{895A7855-D26B-4608-81A5-32F46D82660A}"/>
    <cellStyle name="Normal 196 2" xfId="5367" xr:uid="{D0948AAE-78F5-4EBB-BB13-EF5559402DD5}"/>
    <cellStyle name="Normal 196_Exist Trunk Assets - Ferry" xfId="8984" xr:uid="{C05FA589-4524-4AD2-B4BD-4F1342940719}"/>
    <cellStyle name="Normal 197" xfId="5368" xr:uid="{AFC47CD4-89A3-4571-B313-ADFC92854597}"/>
    <cellStyle name="Normal 197 2" xfId="5369" xr:uid="{897A94DE-8351-45A1-A4D2-074D1FB57279}"/>
    <cellStyle name="Normal 197_Exist Trunk Assets - Ferry" xfId="8985" xr:uid="{DB694BBC-6A24-4862-9A49-2F95B997D20F}"/>
    <cellStyle name="Normal 198" xfId="5370" xr:uid="{454E5765-93C2-45BD-814B-9F98F7218EA9}"/>
    <cellStyle name="Normal 198 2" xfId="5371" xr:uid="{58D7321E-2CDD-4304-B3AD-7E25E478936F}"/>
    <cellStyle name="Normal 198_Exist Trunk Assets - Ferry" xfId="8986" xr:uid="{F15FA36A-4B1B-40D3-8FB6-D4ABCAA0DA7E}"/>
    <cellStyle name="Normal 199" xfId="5372" xr:uid="{673AFBE3-DD26-4C5F-9D1F-0A820550D229}"/>
    <cellStyle name="Normal 199 2" xfId="5373" xr:uid="{E5C8EF90-52A5-4B09-A5A6-E290015BE78A}"/>
    <cellStyle name="Normal 199_Exist Trunk Assets - Ferry" xfId="8987" xr:uid="{0D855F16-A218-4BB4-B16A-19D1308CE7C0}"/>
    <cellStyle name="Normal 2" xfId="8" xr:uid="{B3C0F534-D7D0-4B6E-AB64-8A4E5D906812}"/>
    <cellStyle name="Normal 2 10" xfId="5374" xr:uid="{8DC268D2-8E83-44D3-8AAA-717755802181}"/>
    <cellStyle name="Normal 2 2" xfId="1460" xr:uid="{0542528E-C1DD-4BB7-B98C-E6C2A0EE80A1}"/>
    <cellStyle name="Normal 2 2 2" xfId="1461" xr:uid="{806B50CF-2756-481D-8278-065DD4FD8B52}"/>
    <cellStyle name="Normal 2 2 2 2" xfId="1462" xr:uid="{A01B3484-428D-4AE4-9987-A6F2FAF1F4CB}"/>
    <cellStyle name="Normal 2 2 2 2 2" xfId="5375" xr:uid="{BBC11CDD-604D-43FD-8406-F18E98E73571}"/>
    <cellStyle name="Normal 2 2 2 2 2 2" xfId="5376" xr:uid="{17FD558C-41A9-43D5-ACAD-EC03E2E9A91F}"/>
    <cellStyle name="Normal 2 2 2 2 2_Exist Trunk Assets - Ferry" xfId="8992" xr:uid="{30F6E769-050B-4C06-8BCE-745B022BF173}"/>
    <cellStyle name="Normal 2 2 2 2 3" xfId="5377" xr:uid="{A7070A58-6AB9-4D91-818C-7419A4015745}"/>
    <cellStyle name="Normal 2 2 2 2 3 2" xfId="5378" xr:uid="{5C5BF618-19FF-4413-8B71-419F5EB84D34}"/>
    <cellStyle name="Normal 2 2 2 2 3_Exist Trunk Assets - Ferry" xfId="8993" xr:uid="{C85AD5E7-B159-4250-8B20-E056881E868E}"/>
    <cellStyle name="Normal 2 2 2 2 4" xfId="5379" xr:uid="{4DE11E48-FF8F-42EA-B943-F7C884245B08}"/>
    <cellStyle name="Normal 2 2 2 2_Exist Trunk Assets - Ferry" xfId="8991" xr:uid="{AB51E1BF-C2B9-4085-B38A-9E87E360A433}"/>
    <cellStyle name="Normal 2 2 2 3" xfId="5380" xr:uid="{A46C4986-6334-4691-BD74-B36DF0010EBA}"/>
    <cellStyle name="Normal 2 2 2 3 2" xfId="5381" xr:uid="{F5C63433-857B-40D8-8EB4-796A3FF9A240}"/>
    <cellStyle name="Normal 2 2 2 3_Exist Trunk Assets - Ferry" xfId="8994" xr:uid="{CDFC4703-569E-4986-8276-982F718AC401}"/>
    <cellStyle name="Normal 2 2 2 4" xfId="5382" xr:uid="{FA80932F-185A-48DA-9C27-B12E08ADDD92}"/>
    <cellStyle name="Normal 2 2 2 4 2" xfId="5383" xr:uid="{BFD97882-4941-466D-A0E0-11FF45621125}"/>
    <cellStyle name="Normal 2 2 2 4_Exist Trunk Assets - Ferry" xfId="8995" xr:uid="{C89C6054-624C-4C5C-85BB-869554851603}"/>
    <cellStyle name="Normal 2 2 2 5" xfId="5384" xr:uid="{317776F0-0236-4CCB-87D4-608E3022D300}"/>
    <cellStyle name="Normal 2 2 2_Exist Trunk Assets - Ferry" xfId="8990" xr:uid="{3A3528AC-5807-486F-A7BE-7E067BFA7EC5}"/>
    <cellStyle name="Normal 2 2 3" xfId="1463" xr:uid="{F37769F1-D62D-4092-94DE-E8D6A0B88889}"/>
    <cellStyle name="Normal 2 2 3 2" xfId="1464" xr:uid="{C258E952-E2C9-4B7F-898B-97F3B9FC4BDE}"/>
    <cellStyle name="Normal 2 2 3 2 2" xfId="5385" xr:uid="{F51FFEA0-FCEA-4475-AD5F-A685D10E66EF}"/>
    <cellStyle name="Normal 2 2 3 2 2 2" xfId="5386" xr:uid="{F828F578-1C97-42FC-A7AA-0B002477320F}"/>
    <cellStyle name="Normal 2 2 3 2 2_Exist Trunk Assets - Ferry" xfId="8998" xr:uid="{A07A5951-F91E-4FAF-8A4B-AB8DE96A2BE3}"/>
    <cellStyle name="Normal 2 2 3 2 3" xfId="5387" xr:uid="{69AC26A6-34B1-45E3-897F-53F8DD7D711D}"/>
    <cellStyle name="Normal 2 2 3 2 3 2" xfId="5388" xr:uid="{A08B03AA-6AAA-4AF3-9214-989F41F562F9}"/>
    <cellStyle name="Normal 2 2 3 2 3_Exist Trunk Assets - Ferry" xfId="8999" xr:uid="{84DE8A80-E235-4B6D-A825-1E77D77C67DD}"/>
    <cellStyle name="Normal 2 2 3 2 4" xfId="5389" xr:uid="{E520FCAD-7C66-4EE4-A64F-014A446833F8}"/>
    <cellStyle name="Normal 2 2 3 2_Exist Trunk Assets - Ferry" xfId="8997" xr:uid="{D219104B-9D99-41FE-A23C-63DA8A0493AF}"/>
    <cellStyle name="Normal 2 2 3 3" xfId="5390" xr:uid="{8B914EEB-B0E8-4A74-8C3A-74BD42FB783D}"/>
    <cellStyle name="Normal 2 2 3 3 2" xfId="5391" xr:uid="{6FB98BA6-9490-4CFA-AC02-59D2F09A1110}"/>
    <cellStyle name="Normal 2 2 3 3_Exist Trunk Assets - Ferry" xfId="9000" xr:uid="{30B16CF9-0EE7-45A1-857D-0E79E61512AE}"/>
    <cellStyle name="Normal 2 2 3 4" xfId="5392" xr:uid="{CF089759-03D5-4E76-B8E7-995133517B99}"/>
    <cellStyle name="Normal 2 2 3 4 2" xfId="5393" xr:uid="{EF18B8B1-A09E-4C23-97CF-5052B34D8C32}"/>
    <cellStyle name="Normal 2 2 3 4_Exist Trunk Assets - Ferry" xfId="9001" xr:uid="{70E73B1D-3C91-40B0-93C1-A535F347BB99}"/>
    <cellStyle name="Normal 2 2 3 5" xfId="5394" xr:uid="{D834AB87-411B-4097-9A5C-7E587F15088A}"/>
    <cellStyle name="Normal 2 2 3_Exist Trunk Assets - Ferry" xfId="8996" xr:uid="{D0CE9155-C908-4DD8-9170-7192307697AB}"/>
    <cellStyle name="Normal 2 2 4" xfId="1465" xr:uid="{F8C14106-F862-4CC8-B82B-7841DCCFB71C}"/>
    <cellStyle name="Normal 2 2 4 2" xfId="5395" xr:uid="{D5C7277D-FE17-4860-A351-E6719930FEDF}"/>
    <cellStyle name="Normal 2 2 4 2 2" xfId="5396" xr:uid="{C33168E6-4EEE-43BF-929D-6CE477B0BC43}"/>
    <cellStyle name="Normal 2 2 4 2_Exist Trunk Assets - Ferry" xfId="9003" xr:uid="{C3A99746-4035-414F-874D-3C90C33FE51C}"/>
    <cellStyle name="Normal 2 2 4 3" xfId="5397" xr:uid="{A54C5C1D-DE84-4861-BBE0-2C810B8F1E3A}"/>
    <cellStyle name="Normal 2 2 4 3 2" xfId="5398" xr:uid="{F38861F3-5071-4F31-8937-7093CA92FE40}"/>
    <cellStyle name="Normal 2 2 4 3_Exist Trunk Assets - Ferry" xfId="9004" xr:uid="{19C288E9-57D3-4000-8E07-332B4766F9B8}"/>
    <cellStyle name="Normal 2 2 4 4" xfId="5399" xr:uid="{72A855D2-760B-4AEF-B022-AA0214A7011C}"/>
    <cellStyle name="Normal 2 2 4_Exist Trunk Assets - Ferry" xfId="9002" xr:uid="{8EF7087E-7C78-46E8-BF8D-4884D7702A2E}"/>
    <cellStyle name="Normal 2 2 5" xfId="2406" xr:uid="{5B5BB571-ED2C-49DA-B961-4F759E91196F}"/>
    <cellStyle name="Normal 2 2 5 2" xfId="5400" xr:uid="{D9AF4DB7-9FDD-49AE-9EF2-5DDC99DAE89A}"/>
    <cellStyle name="Normal 2 2 5 3" xfId="5401" xr:uid="{CD594FA8-F7DE-4DBA-8595-948D18F1F78E}"/>
    <cellStyle name="Normal 2 2 5_Exist Trunk Assets - Ferry" xfId="9005" xr:uid="{57E2394E-5DA5-46AA-A76C-DFD87B0994D1}"/>
    <cellStyle name="Normal 2 2 6" xfId="5402" xr:uid="{62C3B82D-6A71-400C-933D-6AADCC53465B}"/>
    <cellStyle name="Normal 2 2 6 2" xfId="5403" xr:uid="{165A737C-8482-4B2A-8AF2-A017AB03CBDD}"/>
    <cellStyle name="Normal 2 2 6_Exist Trunk Assets - Ferry" xfId="9006" xr:uid="{3C33B497-3C1C-4FD8-988A-2AEBC86AA1C1}"/>
    <cellStyle name="Normal 2 2 7" xfId="5404" xr:uid="{ACE2D73B-E4BB-4440-80E8-3D815349D05E}"/>
    <cellStyle name="Normal 2 2 7 2" xfId="5405" xr:uid="{E6135804-B52C-4F51-B505-79FA0DDBF966}"/>
    <cellStyle name="Normal 2 2 7_Exist Trunk Assets - Ferry" xfId="9007" xr:uid="{8010790E-8D41-4E15-BC50-443141C12A41}"/>
    <cellStyle name="Normal 2 2 8" xfId="5406" xr:uid="{118FA590-E306-4C3C-A52B-52D93CEA4F67}"/>
    <cellStyle name="Normal 2 2 9" xfId="8162" xr:uid="{904B09F3-60C6-43D5-B0E0-B5A3075DDE61}"/>
    <cellStyle name="Normal 2 2_Exist Trunk Assets - Ferry" xfId="8989" xr:uid="{21BFBCCE-D2CB-4559-ADC0-880636D57639}"/>
    <cellStyle name="Normal 2 3" xfId="1466" xr:uid="{DD45B08B-F1D7-4115-985F-34B265CE6977}"/>
    <cellStyle name="Normal 2 3 2" xfId="1467" xr:uid="{75F3236D-04FD-4BA3-9518-437B3082D2ED}"/>
    <cellStyle name="Normal 2 3 2 2" xfId="1468" xr:uid="{14E1682A-55D8-4753-B9C0-BDB0659BE0C4}"/>
    <cellStyle name="Normal 2 3 2 2 2" xfId="5407" xr:uid="{0A7F3995-313A-4109-919F-1E7B59DAE70B}"/>
    <cellStyle name="Normal 2 3 2 2 2 2" xfId="5408" xr:uid="{17EC85FC-8AE2-4EE3-BB7B-16C1C4EFF550}"/>
    <cellStyle name="Normal 2 3 2 2 2_Exist Trunk Assets - Ferry" xfId="9011" xr:uid="{0770DCE0-ACD2-4D49-912D-317416DA9006}"/>
    <cellStyle name="Normal 2 3 2 2 3" xfId="5409" xr:uid="{F4BF2F48-E112-4CC5-9AF0-BFADB7CCBA64}"/>
    <cellStyle name="Normal 2 3 2 2 3 2" xfId="5410" xr:uid="{70E5D8B5-2A7E-4B3B-9820-D843FC06E246}"/>
    <cellStyle name="Normal 2 3 2 2 3_Exist Trunk Assets - Ferry" xfId="9012" xr:uid="{8CCF8C33-A5B6-4978-90D3-6AC9B7E51DFC}"/>
    <cellStyle name="Normal 2 3 2 2 4" xfId="5411" xr:uid="{09FC15B5-3FC6-461A-A794-9B114789D8EB}"/>
    <cellStyle name="Normal 2 3 2 2_Exist Trunk Assets - Ferry" xfId="9010" xr:uid="{6413FC44-B6AF-4632-9E3B-F6581A48DFAC}"/>
    <cellStyle name="Normal 2 3 2 3" xfId="5412" xr:uid="{9E187959-96EC-439E-87C0-0D983068B79B}"/>
    <cellStyle name="Normal 2 3 2 3 2" xfId="5413" xr:uid="{35BC49CD-AC5B-461F-B1CD-96BC1827C9CE}"/>
    <cellStyle name="Normal 2 3 2 3_Exist Trunk Assets - Ferry" xfId="9013" xr:uid="{DFDF1305-9302-484E-A8F5-57BBCC1C5CA9}"/>
    <cellStyle name="Normal 2 3 2 4" xfId="5414" xr:uid="{429F0E3A-F3F5-428A-9F78-F84165588741}"/>
    <cellStyle name="Normal 2 3 2 4 2" xfId="5415" xr:uid="{BB976097-FFCE-49B7-AEBA-5A1CAEB1CC3A}"/>
    <cellStyle name="Normal 2 3 2 4_Exist Trunk Assets - Ferry" xfId="9014" xr:uid="{ED960EF0-9C4D-41BA-B395-CE2507F73DF0}"/>
    <cellStyle name="Normal 2 3 2 5" xfId="5416" xr:uid="{434535DA-3AC0-4CA7-99C9-8FF9DC7E44C7}"/>
    <cellStyle name="Normal 2 3 2_Exist Trunk Assets - Ferry" xfId="9009" xr:uid="{4F7B9BC0-30DA-460F-BE31-ACC06D43B7CA}"/>
    <cellStyle name="Normal 2 3 3" xfId="1469" xr:uid="{58AE30D3-B1A0-40FF-9EB5-C21BDBB5A703}"/>
    <cellStyle name="Normal 2 3 3 2" xfId="1470" xr:uid="{E4E616B6-EDE0-4320-B6F0-ED92ED079405}"/>
    <cellStyle name="Normal 2 3 3 2 2" xfId="5417" xr:uid="{A571329A-B7C1-4808-8188-690CF9979953}"/>
    <cellStyle name="Normal 2 3 3 2 2 2" xfId="5418" xr:uid="{D33417CF-EE11-4A6A-949C-5CC0BAED0337}"/>
    <cellStyle name="Normal 2 3 3 2 2_Exist Trunk Assets - Ferry" xfId="9017" xr:uid="{8F6B96DB-33A3-4F0F-9465-81DED5591315}"/>
    <cellStyle name="Normal 2 3 3 2 3" xfId="5419" xr:uid="{C1834D2F-A39F-4EF6-9D3D-C23ECA0EAE7E}"/>
    <cellStyle name="Normal 2 3 3 2 3 2" xfId="5420" xr:uid="{5811706B-1E4D-4D44-BA5D-7726D64A0A4A}"/>
    <cellStyle name="Normal 2 3 3 2 3_Exist Trunk Assets - Ferry" xfId="9018" xr:uid="{81513B35-4BF5-4687-A3FB-8E9C3E98FFDA}"/>
    <cellStyle name="Normal 2 3 3 2 4" xfId="5421" xr:uid="{52060F14-3331-4976-A2D3-32A3039346DD}"/>
    <cellStyle name="Normal 2 3 3 2_Exist Trunk Assets - Ferry" xfId="9016" xr:uid="{87F279F6-0EBE-4428-8842-33992C41F370}"/>
    <cellStyle name="Normal 2 3 3 3" xfId="5422" xr:uid="{A9C3852D-0512-4150-AC04-7A499468F31D}"/>
    <cellStyle name="Normal 2 3 3 3 2" xfId="5423" xr:uid="{F646EB4C-3295-4820-A4D1-6F7DAE33B972}"/>
    <cellStyle name="Normal 2 3 3 3_Exist Trunk Assets - Ferry" xfId="9019" xr:uid="{193A131B-6EF5-461E-9410-72A725BA94CB}"/>
    <cellStyle name="Normal 2 3 3 4" xfId="5424" xr:uid="{02489114-3FB2-48F7-9C25-E03ADD4DDE10}"/>
    <cellStyle name="Normal 2 3 3 4 2" xfId="5425" xr:uid="{698702A8-491F-4484-AB4D-1B68938D8F4A}"/>
    <cellStyle name="Normal 2 3 3 4_Exist Trunk Assets - Ferry" xfId="9020" xr:uid="{895A3AC9-F91D-436C-8B65-99EEE5A1E391}"/>
    <cellStyle name="Normal 2 3 3 5" xfId="5426" xr:uid="{9F98D18E-F809-4940-A6FA-C0E2D9EAB478}"/>
    <cellStyle name="Normal 2 3 3_Exist Trunk Assets - Ferry" xfId="9015" xr:uid="{9F3F9144-ABD6-4FE5-A86A-45517EAB57C3}"/>
    <cellStyle name="Normal 2 3 4" xfId="1471" xr:uid="{E732A617-9B5D-4368-9E5F-1FD50D1DA7F0}"/>
    <cellStyle name="Normal 2 3 4 2" xfId="5427" xr:uid="{8E0ACF19-D38B-4F57-984E-D983B2864F00}"/>
    <cellStyle name="Normal 2 3 4 2 2" xfId="5428" xr:uid="{37BDF957-5C87-47A9-B94F-9B29E70C6E9E}"/>
    <cellStyle name="Normal 2 3 4 2_Exist Trunk Assets - Ferry" xfId="9022" xr:uid="{29027923-421B-482D-B3C1-6B0F9CDD54D2}"/>
    <cellStyle name="Normal 2 3 4 3" xfId="5429" xr:uid="{6013F6D9-755A-4851-81AD-1ABE5C719DCB}"/>
    <cellStyle name="Normal 2 3 4 3 2" xfId="5430" xr:uid="{38FCFF0F-6F73-43D0-8919-D2A27E533C52}"/>
    <cellStyle name="Normal 2 3 4 3_Exist Trunk Assets - Ferry" xfId="9023" xr:uid="{8A538351-A5CD-44B8-9CA3-D813608ADF74}"/>
    <cellStyle name="Normal 2 3 4 4" xfId="5431" xr:uid="{518470A5-6836-43FA-BBFE-7237F952F5A7}"/>
    <cellStyle name="Normal 2 3 4_Exist Trunk Assets - Ferry" xfId="9021" xr:uid="{03B69C2E-5303-4D57-B234-688DFAA0EA03}"/>
    <cellStyle name="Normal 2 3 5" xfId="2407" xr:uid="{0EFB7C0D-59A8-4236-AA41-99BB750CAD1A}"/>
    <cellStyle name="Normal 2 3 5 2" xfId="5432" xr:uid="{EECABFE3-BD2F-4BC8-9C87-8EF09C93843D}"/>
    <cellStyle name="Normal 2 3 5 3" xfId="5433" xr:uid="{F3D20A53-855B-4721-91EE-995DCA3CF5AD}"/>
    <cellStyle name="Normal 2 3 5_Exist Trunk Assets - Ferry" xfId="9024" xr:uid="{09EDAC86-0538-4301-AA5B-81DDA53358FB}"/>
    <cellStyle name="Normal 2 3 6" xfId="5434" xr:uid="{D0738302-E04B-429D-A509-9E9216BFBD36}"/>
    <cellStyle name="Normal 2 3 6 2" xfId="5435" xr:uid="{2B735471-8628-4A51-AD13-4C7CFDF858A9}"/>
    <cellStyle name="Normal 2 3 6_Exist Trunk Assets - Ferry" xfId="9025" xr:uid="{C07E30B1-71A9-426D-86DE-335E52B5CFD3}"/>
    <cellStyle name="Normal 2 3 7" xfId="5436" xr:uid="{01CEE20C-7269-4224-8E48-3CFE4BDC965B}"/>
    <cellStyle name="Normal 2 3 7 2" xfId="5437" xr:uid="{910ED11E-883B-4602-852D-02FAB5DA02B6}"/>
    <cellStyle name="Normal 2 3 7_Exist Trunk Assets - Ferry" xfId="9026" xr:uid="{7F3F3C24-2AE6-47CE-8F0E-EF4E71421F7B}"/>
    <cellStyle name="Normal 2 3 8" xfId="5438" xr:uid="{7E551899-B9D9-4453-A372-6A62BBD30D26}"/>
    <cellStyle name="Normal 2 3_Exist Trunk Assets - Ferry" xfId="9008" xr:uid="{87B9CC6A-8E26-41BD-8340-545CD8F3741B}"/>
    <cellStyle name="Normal 2 4" xfId="1472" xr:uid="{D925BF05-EF52-442D-B162-0597F794AB56}"/>
    <cellStyle name="Normal 2 4 2" xfId="1473" xr:uid="{5DD8F79E-FC8F-4CA2-9568-80E0F03D8B5D}"/>
    <cellStyle name="Normal 2 4 2 2" xfId="1474" xr:uid="{FE60CD8C-8F03-4F9E-B345-510493785865}"/>
    <cellStyle name="Normal 2 4 2 2 2" xfId="5439" xr:uid="{256E46BA-7A62-45B2-A57E-FF9623EA39A7}"/>
    <cellStyle name="Normal 2 4 2 2 2 2" xfId="5440" xr:uid="{8995E15E-0EA9-4E01-9E6E-5EF0056B5740}"/>
    <cellStyle name="Normal 2 4 2 2 2_Exist Trunk Assets - Ferry" xfId="9030" xr:uid="{E0EFA92A-E66D-4106-9872-DE4E295B61A5}"/>
    <cellStyle name="Normal 2 4 2 2 3" xfId="5441" xr:uid="{C0F2860E-08EF-40AB-A752-4F08CA1011CC}"/>
    <cellStyle name="Normal 2 4 2 2 3 2" xfId="5442" xr:uid="{F9079F65-9269-4216-B2BF-556A2A0D7750}"/>
    <cellStyle name="Normal 2 4 2 2 3_Exist Trunk Assets - Ferry" xfId="9031" xr:uid="{A6506828-B4E6-438B-97F4-02731CB8ED46}"/>
    <cellStyle name="Normal 2 4 2 2 4" xfId="5443" xr:uid="{302DE4A0-24EE-4774-93A8-4E7BF7C86122}"/>
    <cellStyle name="Normal 2 4 2 2_Exist Trunk Assets - Ferry" xfId="9029" xr:uid="{7EC2A880-EEAD-4B38-AE3E-9BD4CBC8C706}"/>
    <cellStyle name="Normal 2 4 2 3" xfId="5444" xr:uid="{E31797FC-53BE-4585-B523-ABA53263455C}"/>
    <cellStyle name="Normal 2 4 2 3 2" xfId="5445" xr:uid="{EC058C04-F361-4096-962C-E96881ADEF50}"/>
    <cellStyle name="Normal 2 4 2 3_Exist Trunk Assets - Ferry" xfId="9032" xr:uid="{36B7AEC7-6710-42CC-94A4-AF7A76F92199}"/>
    <cellStyle name="Normal 2 4 2 4" xfId="5446" xr:uid="{9372E919-F325-4F00-9C9E-107021063A20}"/>
    <cellStyle name="Normal 2 4 2 4 2" xfId="5447" xr:uid="{06B60EA4-7EB8-40AE-A5A9-2DCBC188BB7E}"/>
    <cellStyle name="Normal 2 4 2 4_Exist Trunk Assets - Ferry" xfId="9033" xr:uid="{88383B7D-7809-4864-872B-7588FD9F97BF}"/>
    <cellStyle name="Normal 2 4 2 5" xfId="5448" xr:uid="{2BDF8C59-DA62-4F15-B514-EC34CE7F1164}"/>
    <cellStyle name="Normal 2 4 2_Exist Trunk Assets - Ferry" xfId="9028" xr:uid="{EA6D5D61-6601-452E-8095-7D0DC21011EB}"/>
    <cellStyle name="Normal 2 4 3" xfId="1475" xr:uid="{F5734D8B-8470-4B2B-BF0A-F4E17384F857}"/>
    <cellStyle name="Normal 2 4 3 2" xfId="1476" xr:uid="{EAF8F000-641D-430F-B7CD-DB0EB2DF7A43}"/>
    <cellStyle name="Normal 2 4 3 2 2" xfId="5449" xr:uid="{289B613D-F78C-435E-8E76-D4A5E4171324}"/>
    <cellStyle name="Normal 2 4 3 2 2 2" xfId="5450" xr:uid="{5A0797AF-0DB4-4349-B443-E580EED140F8}"/>
    <cellStyle name="Normal 2 4 3 2 2_Exist Trunk Assets - Ferry" xfId="9036" xr:uid="{391D6989-F3D5-434A-ACF1-B5863B002BC5}"/>
    <cellStyle name="Normal 2 4 3 2 3" xfId="5451" xr:uid="{09079E77-86F4-469B-B3C8-731E87F5C16F}"/>
    <cellStyle name="Normal 2 4 3 2 3 2" xfId="5452" xr:uid="{BC629B25-E8E6-409E-848E-1CAFA1FD0DFF}"/>
    <cellStyle name="Normal 2 4 3 2 3_Exist Trunk Assets - Ferry" xfId="9037" xr:uid="{BDAE226F-87A2-4ADC-AFFD-1109B9E5A216}"/>
    <cellStyle name="Normal 2 4 3 2 4" xfId="5453" xr:uid="{3A47F795-CE75-46E9-A4C9-C41B5DDCE113}"/>
    <cellStyle name="Normal 2 4 3 2_Exist Trunk Assets - Ferry" xfId="9035" xr:uid="{3E4DA54E-B238-46BC-8585-E7510BB92B9A}"/>
    <cellStyle name="Normal 2 4 3 3" xfId="5454" xr:uid="{276F5975-4AAC-46E8-A0B7-9AC39EFA9177}"/>
    <cellStyle name="Normal 2 4 3 3 2" xfId="5455" xr:uid="{8E6D2B6A-8E44-4557-8B43-BD6B0C369BC4}"/>
    <cellStyle name="Normal 2 4 3 3_Exist Trunk Assets - Ferry" xfId="9038" xr:uid="{4D1A6736-9E8D-49F7-91B9-E8A18606C05C}"/>
    <cellStyle name="Normal 2 4 3 4" xfId="5456" xr:uid="{DC918B74-A203-435C-A153-B82A9876C787}"/>
    <cellStyle name="Normal 2 4 3 4 2" xfId="5457" xr:uid="{E7D5E66A-EBC4-4AB0-AA10-989868B58D50}"/>
    <cellStyle name="Normal 2 4 3 4_Exist Trunk Assets - Ferry" xfId="9039" xr:uid="{748941E1-8A88-4ED1-B4BE-1072C870EDE9}"/>
    <cellStyle name="Normal 2 4 3 5" xfId="5458" xr:uid="{FC3501E7-1CD7-4007-A6D1-2D459E314CD7}"/>
    <cellStyle name="Normal 2 4 3_Exist Trunk Assets - Ferry" xfId="9034" xr:uid="{93C404BF-194F-4F2F-BFD8-964725A62003}"/>
    <cellStyle name="Normal 2 4 4" xfId="1477" xr:uid="{AB5B5555-3C89-4EE8-B8BA-6D3C6999837B}"/>
    <cellStyle name="Normal 2 4 4 2" xfId="5459" xr:uid="{82CCCCA6-4A67-44BE-9312-1EF68EEE438D}"/>
    <cellStyle name="Normal 2 4 4 2 2" xfId="5460" xr:uid="{D30A7955-6CB7-4523-8B20-0C4DC8640E9C}"/>
    <cellStyle name="Normal 2 4 4 2_Exist Trunk Assets - Ferry" xfId="9041" xr:uid="{F8BC85D2-5A8C-4B09-9D8E-AF3E86214E87}"/>
    <cellStyle name="Normal 2 4 4 3" xfId="5461" xr:uid="{38375D46-AB4D-4491-8DE7-E84CF2F58A04}"/>
    <cellStyle name="Normal 2 4 4 3 2" xfId="5462" xr:uid="{8875DBE4-8504-48F4-BC42-5D2AAA34528F}"/>
    <cellStyle name="Normal 2 4 4 3_Exist Trunk Assets - Ferry" xfId="9042" xr:uid="{57DAB84A-FA36-4C90-9286-61530B7B5BF9}"/>
    <cellStyle name="Normal 2 4 4 4" xfId="5463" xr:uid="{F6209795-E1BF-41DD-B08E-FC2A8F358B74}"/>
    <cellStyle name="Normal 2 4 4_Exist Trunk Assets - Ferry" xfId="9040" xr:uid="{D9C75591-2AC0-4625-AD0C-1C24A520BD90}"/>
    <cellStyle name="Normal 2 4 5" xfId="2408" xr:uid="{CF70395B-C5F6-4B4B-9FBE-5054D340D9B9}"/>
    <cellStyle name="Normal 2 4 5 2" xfId="5464" xr:uid="{209D9EB0-DBD1-4DCE-BD5A-2887A433FC9D}"/>
    <cellStyle name="Normal 2 4 5 3" xfId="5465" xr:uid="{2675F908-3E8B-42B8-85B8-55E4B976417E}"/>
    <cellStyle name="Normal 2 4 5_Exist Trunk Assets - Ferry" xfId="9043" xr:uid="{EC545D3E-6408-4D16-B4C8-DB60814D9F8A}"/>
    <cellStyle name="Normal 2 4 6" xfId="5466" xr:uid="{4CF09B84-5665-4919-8D8F-2D2FEA15F4C6}"/>
    <cellStyle name="Normal 2 4 6 2" xfId="5467" xr:uid="{89DE6329-C58F-49E4-BEFC-7EAE104742EF}"/>
    <cellStyle name="Normal 2 4 6_Exist Trunk Assets - Ferry" xfId="9044" xr:uid="{53002B1E-D284-4A69-9426-3B67F0BE7A30}"/>
    <cellStyle name="Normal 2 4 7" xfId="5468" xr:uid="{446D79EB-D811-4C68-B370-7BAA472A0DDB}"/>
    <cellStyle name="Normal 2 4 7 2" xfId="5469" xr:uid="{39795A4C-A3A2-4AA1-9C2E-FB33032E8659}"/>
    <cellStyle name="Normal 2 4 7_Exist Trunk Assets - Ferry" xfId="9045" xr:uid="{8DD312F7-CE1A-4D2C-A479-B8E11BE110D5}"/>
    <cellStyle name="Normal 2 4 8" xfId="5470" xr:uid="{04994E4C-4A40-4C4E-8B7B-C66C4A881953}"/>
    <cellStyle name="Normal 2 4_Exist Trunk Assets - Ferry" xfId="9027" xr:uid="{246458F8-437A-4434-A0FA-B4EFDFECB915}"/>
    <cellStyle name="Normal 2 5" xfId="1478" xr:uid="{08A34666-96AE-495E-9EA9-9FEFC610A0C9}"/>
    <cellStyle name="Normal 2 5 2" xfId="1479" xr:uid="{D23E3A49-C807-47A1-8383-B91ABFDC874F}"/>
    <cellStyle name="Normal 2 5 2 2" xfId="5471" xr:uid="{5061FF98-B49D-45A5-A7DC-8794A9BB5B82}"/>
    <cellStyle name="Normal 2 5 2 2 2" xfId="5472" xr:uid="{5179C722-394D-4E4F-B45B-075D469BB76F}"/>
    <cellStyle name="Normal 2 5 2 2_Exist Trunk Assets - Ferry" xfId="9048" xr:uid="{5A1ED721-7819-4934-9B6D-2648AD54E617}"/>
    <cellStyle name="Normal 2 5 2 3" xfId="5473" xr:uid="{F5F078E0-4B0E-4FA3-A947-4658F0C569E9}"/>
    <cellStyle name="Normal 2 5 2 3 2" xfId="5474" xr:uid="{C58CA9C4-C6CF-40A7-87FD-136009EC3C85}"/>
    <cellStyle name="Normal 2 5 2 3_Exist Trunk Assets - Ferry" xfId="9049" xr:uid="{21B12640-9452-45E8-A9D0-85182804B2DC}"/>
    <cellStyle name="Normal 2 5 2 4" xfId="5475" xr:uid="{5BF25B0D-AC68-4883-A331-E149C5D17223}"/>
    <cellStyle name="Normal 2 5 2_Exist Trunk Assets - Ferry" xfId="9047" xr:uid="{AC992AB4-FCD7-49CF-BE37-05412E2E3155}"/>
    <cellStyle name="Normal 2 5 3" xfId="2409" xr:uid="{46DEED66-D381-4A18-91CA-F089825A73E8}"/>
    <cellStyle name="Normal 2 5 3 2" xfId="5476" xr:uid="{A7A17890-4262-4FB4-848C-4FAC7549BE4D}"/>
    <cellStyle name="Normal 2 5 3 3" xfId="5477" xr:uid="{A7FD5AA1-9931-4BC0-8A1F-C1B89B6A4BE0}"/>
    <cellStyle name="Normal 2 5 3_Exist Trunk Assets - Ferry" xfId="9050" xr:uid="{660EFBC3-991C-4118-A822-43109E161116}"/>
    <cellStyle name="Normal 2 5 4" xfId="5478" xr:uid="{CD5C9869-264C-497D-8375-D90C82F30B10}"/>
    <cellStyle name="Normal 2 5 4 2" xfId="5479" xr:uid="{90CE0590-55B6-4E05-9A6E-B697F079F3AF}"/>
    <cellStyle name="Normal 2 5 4_Exist Trunk Assets - Ferry" xfId="9051" xr:uid="{A32467E9-6770-4B69-B1BF-DD01D700802B}"/>
    <cellStyle name="Normal 2 5 5" xfId="5480" xr:uid="{1DF7781C-F6E0-4983-AAE2-F59BC8774BE3}"/>
    <cellStyle name="Normal 2 5 5 2" xfId="5481" xr:uid="{B9A2096C-50B0-44E6-AF77-22874A033410}"/>
    <cellStyle name="Normal 2 5 5_Exist Trunk Assets - Ferry" xfId="9052" xr:uid="{6C557BCF-F164-49E8-9389-3E1C4A02FC99}"/>
    <cellStyle name="Normal 2 5 6" xfId="5482" xr:uid="{7B647CD3-D018-4CA6-8A90-EE4DE0FC946F}"/>
    <cellStyle name="Normal 2 5_Exist Trunk Assets - Ferry" xfId="9046" xr:uid="{7A9D73FE-A04A-4F59-83F6-6DCAD43774F0}"/>
    <cellStyle name="Normal 2 6" xfId="1480" xr:uid="{C294872D-7C98-4306-AA1B-AC0378C97304}"/>
    <cellStyle name="Normal 2 6 2" xfId="2411" xr:uid="{88261D95-F4AD-4AD5-BC58-52C1BAB1AE1E}"/>
    <cellStyle name="Normal 2 6 2 2" xfId="5483" xr:uid="{DCE7D777-884B-415E-93EA-9A10D784BA64}"/>
    <cellStyle name="Normal 2 6 2 2 2" xfId="5484" xr:uid="{D5F8639A-0C37-41D5-9A34-4A0E26FFECC0}"/>
    <cellStyle name="Normal 2 6 2 2_Exist Trunk Assets - Ferry" xfId="9055" xr:uid="{DEE48B93-93F2-464E-BE2E-A9CF284C40E7}"/>
    <cellStyle name="Normal 2 6 2 3" xfId="5485" xr:uid="{E4BD1093-D1B0-475E-8E0A-A912D658F1FA}"/>
    <cellStyle name="Normal 2 6 2 3 2" xfId="5486" xr:uid="{0D7A005E-B1BD-4928-9518-492E0AFF9CB2}"/>
    <cellStyle name="Normal 2 6 2 3_Exist Trunk Assets - Ferry" xfId="9056" xr:uid="{3584C205-B2DD-4724-89A8-E79168335723}"/>
    <cellStyle name="Normal 2 6 2 4" xfId="5487" xr:uid="{B40565BB-A3B3-4302-8772-B947383A6E8F}"/>
    <cellStyle name="Normal 2 6 2_Exist Trunk Assets - Ferry" xfId="9054" xr:uid="{01E66235-56E0-4F5D-B49D-EE06E98C1AA1}"/>
    <cellStyle name="Normal 2 6 3" xfId="2410" xr:uid="{E86F0001-1EB5-47A4-BF01-15E320E4F08E}"/>
    <cellStyle name="Normal 2 6 3 2" xfId="5488" xr:uid="{3F379BD7-9291-480C-B212-8521F5C3C5A1}"/>
    <cellStyle name="Normal 2 6 3 3" xfId="5489" xr:uid="{52BFD016-E093-480F-93DE-F811D751E1EA}"/>
    <cellStyle name="Normal 2 6 3_Exist Trunk Assets - Ferry" xfId="9057" xr:uid="{87618E42-9714-4A58-9A54-A7D6175029D4}"/>
    <cellStyle name="Normal 2 6 4" xfId="5490" xr:uid="{52FF4C5C-8872-40F3-9ABE-6F75416F9449}"/>
    <cellStyle name="Normal 2 6 4 2" xfId="5491" xr:uid="{8C797B38-06FB-4C9D-A55A-087E80A78B60}"/>
    <cellStyle name="Normal 2 6 4_Exist Trunk Assets - Ferry" xfId="9058" xr:uid="{7DC7A9F5-C2BB-4532-B99C-8CBD790E90E4}"/>
    <cellStyle name="Normal 2 6 5" xfId="5492" xr:uid="{A77DE9DC-2041-48FF-95A6-590378A67691}"/>
    <cellStyle name="Normal 2 6 5 2" xfId="5493" xr:uid="{88095421-4EFD-4B1A-904C-B18CEBEC0B37}"/>
    <cellStyle name="Normal 2 6 5_Exist Trunk Assets - Ferry" xfId="9059" xr:uid="{3493D185-C474-45E9-9E93-B6DD940CD0C1}"/>
    <cellStyle name="Normal 2 6 6" xfId="5494" xr:uid="{9FD5FEC2-9359-4609-B39E-5CF0A11412E3}"/>
    <cellStyle name="Normal 2 6_Exist Trunk Assets - Ferry" xfId="9053" xr:uid="{794554C0-1070-4939-A74C-1469F11A4878}"/>
    <cellStyle name="Normal 2 7" xfId="2163" xr:uid="{655968EE-28E7-4A86-8698-D1BC17EDD5F2}"/>
    <cellStyle name="Normal 2 7 2" xfId="2432" xr:uid="{C5A8F880-6919-474B-939D-252CAF9C8B2F}"/>
    <cellStyle name="Normal 2 7 2 2" xfId="5495" xr:uid="{3D93CE0C-3089-4CA6-AB17-BCFFAD12B886}"/>
    <cellStyle name="Normal 2 7 2 3" xfId="5496" xr:uid="{61A9FD27-EBA5-45BC-A1EE-965871282E65}"/>
    <cellStyle name="Normal 2 7 2_Exist Trunk Assets - Ferry" xfId="9061" xr:uid="{D09ED4A8-0E8F-49CF-A669-38EC670657F9}"/>
    <cellStyle name="Normal 2 7 3" xfId="2412" xr:uid="{5A2EB706-9567-40E4-AEDD-42482CD1B45B}"/>
    <cellStyle name="Normal 2 7 3 2" xfId="5497" xr:uid="{2577B536-A91C-461D-A5FB-CECD29BC0409}"/>
    <cellStyle name="Normal 2 7 3 2 2" xfId="5498" xr:uid="{366E2723-5B2B-4F05-81DA-E1C972CCAE89}"/>
    <cellStyle name="Normal 2 7 3 2_Exist Trunk Assets - Ferry" xfId="9063" xr:uid="{B2A72899-3297-451E-AFD7-1C7AFE141855}"/>
    <cellStyle name="Normal 2 7 3 3" xfId="5499" xr:uid="{3705127A-2216-462D-802D-74033EA92D00}"/>
    <cellStyle name="Normal 2 7 3 3 2" xfId="5500" xr:uid="{5623BFC7-A0C3-4AD2-B345-6E291A67CB25}"/>
    <cellStyle name="Normal 2 7 3 3_Exist Trunk Assets - Ferry" xfId="9064" xr:uid="{C48FA117-35B7-4C96-B93F-38C762F74AE1}"/>
    <cellStyle name="Normal 2 7 3 4" xfId="5501" xr:uid="{BB006FCC-1C9B-4EA0-80F2-22FB7980CCF8}"/>
    <cellStyle name="Normal 2 7 3_Exist Trunk Assets - Ferry" xfId="9062" xr:uid="{E7EA8313-47D8-43A3-97DD-5A7D155270A4}"/>
    <cellStyle name="Normal 2 7 4" xfId="5502" xr:uid="{1C0B8272-509F-4092-8AA5-1D6FB368CE46}"/>
    <cellStyle name="Normal 2 7 5" xfId="5503" xr:uid="{AAD63800-4522-4CA3-B82F-EE698D5660E5}"/>
    <cellStyle name="Normal 2 7 6" xfId="5504" xr:uid="{3135CF9C-AC21-4F6F-8CE6-AFFAF174C3F9}"/>
    <cellStyle name="Normal 2 7_Exist Trunk Assets - Ferry" xfId="9060" xr:uid="{69CF27E8-2B6F-4E89-9C40-96CAE252963A}"/>
    <cellStyle name="Normal 2 8" xfId="2513" xr:uid="{D1E51BED-DE5B-4D75-9655-04796B48B501}"/>
    <cellStyle name="Normal 2 8 2" xfId="5505" xr:uid="{8BF0EA5F-C65E-4159-810D-E7540CC8E624}"/>
    <cellStyle name="Normal 2 8 3" xfId="5506" xr:uid="{FA0BE37C-00DD-4897-B0FE-B915C9580DF2}"/>
    <cellStyle name="Normal 2 8_Exist Trunk Assets - Ferry" xfId="9065" xr:uid="{ADA2B5F6-9C2C-4186-A5B7-2DA9B1C7DB25}"/>
    <cellStyle name="Normal 2 9" xfId="5507" xr:uid="{65940501-C237-491B-B32B-25D1AF0B177E}"/>
    <cellStyle name="Normal 2_Exist Trunk Assets - Ferry" xfId="8988" xr:uid="{E17FF718-9E6D-42B1-AEA7-88B24FEB08A0}"/>
    <cellStyle name="Normal 20" xfId="1481" xr:uid="{590E97CC-BB79-4E3B-9754-4B0815CA8228}"/>
    <cellStyle name="Normal 20 2" xfId="1482" xr:uid="{BEF7607F-2A20-4D0D-AA38-06FB0F9D98D5}"/>
    <cellStyle name="Normal 20 2 2" xfId="5508" xr:uid="{2674D157-A207-4052-B076-5E8DF45D9D32}"/>
    <cellStyle name="Normal 20 2 2 2" xfId="5509" xr:uid="{FFF83763-D2A3-4157-AAEE-87252A8B1682}"/>
    <cellStyle name="Normal 20 2 2_Exist Trunk Assets - Ferry" xfId="9068" xr:uid="{30C17412-DEF9-406E-A3A7-D199222FA297}"/>
    <cellStyle name="Normal 20 2 3" xfId="5510" xr:uid="{2C175F86-71B1-4256-ADAC-082812A8887D}"/>
    <cellStyle name="Normal 20 2 3 2" xfId="5511" xr:uid="{1A261077-F7EA-4D10-8415-1E932586A7C2}"/>
    <cellStyle name="Normal 20 2 3_Exist Trunk Assets - Ferry" xfId="9069" xr:uid="{496B335A-4550-405F-9956-71D1F2CC00C0}"/>
    <cellStyle name="Normal 20 2 4" xfId="5512" xr:uid="{89F7AC58-B5F9-467D-BD20-3883AED896F1}"/>
    <cellStyle name="Normal 20 2_Exist Trunk Assets - Ferry" xfId="9067" xr:uid="{A4ED128F-A922-43E3-A25A-A4503390129E}"/>
    <cellStyle name="Normal 20 3" xfId="2354" xr:uid="{1C0E1242-A474-49F6-838A-B006BB2E31ED}"/>
    <cellStyle name="Normal 20 3 2" xfId="5513" xr:uid="{206FDF2D-BB7D-484D-82A5-EFC66067F46A}"/>
    <cellStyle name="Normal 20 3 3" xfId="5514" xr:uid="{875F2842-F0F2-41A7-BE5C-0048A69AB199}"/>
    <cellStyle name="Normal 20 3_Exist Trunk Assets - Ferry" xfId="9070" xr:uid="{758AEFC0-2636-4F54-A7D5-ADC106328057}"/>
    <cellStyle name="Normal 20 4" xfId="2548" xr:uid="{866A9C11-0A6F-42D6-89C3-F9EE4C3E3F33}"/>
    <cellStyle name="Normal 20 4 2" xfId="5515" xr:uid="{4FD01B06-C7EB-44C6-9AE2-F645B3922A39}"/>
    <cellStyle name="Normal 20 4 2 2" xfId="5516" xr:uid="{D626ECF0-212F-42AA-9696-4E22FD420E06}"/>
    <cellStyle name="Normal 20 4 2_Exist Trunk Assets - Ferry" xfId="9072" xr:uid="{BE219430-FE37-459C-B00A-C3C4060B4A29}"/>
    <cellStyle name="Normal 20 4 3" xfId="5517" xr:uid="{98EB994F-54B0-41D9-B1E8-C2A41F437C54}"/>
    <cellStyle name="Normal 20 4_Exist Trunk Assets - Ferry" xfId="9071" xr:uid="{77E092D8-507B-419C-B3AF-3515CC83D8E3}"/>
    <cellStyle name="Normal 20 5" xfId="5518" xr:uid="{79AC52C5-8770-45A7-A7CD-F5CDD2FC94D9}"/>
    <cellStyle name="Normal 20 5 2" xfId="5519" xr:uid="{667386FE-13D9-4B14-A4C9-B759C16D6D05}"/>
    <cellStyle name="Normal 20 5_Exist Trunk Assets - Ferry" xfId="9073" xr:uid="{25F47B90-E1E1-4D8A-B219-C7873435B193}"/>
    <cellStyle name="Normal 20 6" xfId="5520" xr:uid="{3B766864-0E90-435F-898B-FDA400C48DBF}"/>
    <cellStyle name="Normal 20_Exist Trunk Assets - Ferry" xfId="9066" xr:uid="{0DB124CC-B244-4292-8F0D-5BEA394078C2}"/>
    <cellStyle name="Normal 200" xfId="5521" xr:uid="{B2CF01B7-0059-4460-80B6-25E12DFFA0E1}"/>
    <cellStyle name="Normal 200 2" xfId="5522" xr:uid="{D5D35D65-7A6B-4454-BB3B-791B1A5C3BFA}"/>
    <cellStyle name="Normal 200_Exist Trunk Assets - Ferry" xfId="9074" xr:uid="{11FB7E84-541A-4DA9-A6C6-02C208F4B985}"/>
    <cellStyle name="Normal 201" xfId="5523" xr:uid="{A21C79AF-DCA1-41B0-B7DD-B5FED2A266B4}"/>
    <cellStyle name="Normal 201 2" xfId="5524" xr:uid="{0A4CF244-3505-4FB8-875C-B3A3FAC5253E}"/>
    <cellStyle name="Normal 201_Exist Trunk Assets - Ferry" xfId="9075" xr:uid="{3B9ACEAB-9F14-46D4-8AB3-8A901EEE75B5}"/>
    <cellStyle name="Normal 202" xfId="5525" xr:uid="{85B398FE-63C9-43B5-945F-7A355DFA5F5B}"/>
    <cellStyle name="Normal 203" xfId="5526" xr:uid="{965379E6-6A8A-4B74-8F8B-1EE6B659106A}"/>
    <cellStyle name="Normal 204" xfId="5527" xr:uid="{014FF140-219B-4033-8A4D-A182B2227C28}"/>
    <cellStyle name="Normal 205" xfId="5528" xr:uid="{899D955E-1149-4291-9A33-7230C0645DB5}"/>
    <cellStyle name="Normal 206" xfId="5529" xr:uid="{7B2F68DE-62E1-4FCD-A5E2-34A26BF91897}"/>
    <cellStyle name="Normal 207" xfId="5530" xr:uid="{5CB8FB13-8435-42AF-9C14-4C495196BDE7}"/>
    <cellStyle name="Normal 208" xfId="5531" xr:uid="{A48C9F79-4CDA-462A-AC23-B51523B139ED}"/>
    <cellStyle name="Normal 209" xfId="5532" xr:uid="{6B974199-7315-4FEE-9906-5A9CC55D61FD}"/>
    <cellStyle name="Normal 21" xfId="1483" xr:uid="{408F0E8F-EA17-411E-9472-9C78A50170BC}"/>
    <cellStyle name="Normal 21 2" xfId="1484" xr:uid="{B6B87582-758B-461D-AEA9-08EF42F2301B}"/>
    <cellStyle name="Normal 21 2 2" xfId="5533" xr:uid="{768899A8-63AB-46D1-A5BC-6714242660D0}"/>
    <cellStyle name="Normal 21 2 2 2" xfId="5534" xr:uid="{D409B80B-AEFC-4087-9A1F-E290A4B22F57}"/>
    <cellStyle name="Normal 21 2 2_Exist Trunk Assets - Ferry" xfId="9078" xr:uid="{E37DBD34-5632-40AD-8003-DD020B52C004}"/>
    <cellStyle name="Normal 21 2 3" xfId="5535" xr:uid="{A58E6E0F-C5C4-4AF8-AB71-FE86071B1048}"/>
    <cellStyle name="Normal 21 2 3 2" xfId="5536" xr:uid="{E2603692-DD6F-4F1A-853D-3AA21DB878F8}"/>
    <cellStyle name="Normal 21 2 3_Exist Trunk Assets - Ferry" xfId="9079" xr:uid="{7C74582F-38D0-4A43-B860-C5BE535EBEC3}"/>
    <cellStyle name="Normal 21 2 4" xfId="5537" xr:uid="{E11D550A-E64D-401B-941E-57418D40E4E4}"/>
    <cellStyle name="Normal 21 2_Exist Trunk Assets - Ferry" xfId="9077" xr:uid="{90305A95-16E4-4D65-B313-E2EED880284D}"/>
    <cellStyle name="Normal 21 3" xfId="2355" xr:uid="{C739335D-BF0A-4AB2-9ED5-12A7CF81EF3F}"/>
    <cellStyle name="Normal 21 3 2" xfId="5538" xr:uid="{ABA1AC25-71CC-461E-B1B2-E520EC547958}"/>
    <cellStyle name="Normal 21 3 3" xfId="5539" xr:uid="{6CDFA18A-8CC6-4F3E-9BA5-F89BE56F7E25}"/>
    <cellStyle name="Normal 21 3_Exist Trunk Assets - Ferry" xfId="9080" xr:uid="{521C8AFD-BA16-4910-8299-32872F108F55}"/>
    <cellStyle name="Normal 21 4" xfId="2549" xr:uid="{EEE9AACA-6F7A-4250-92E4-47AC0A528C9D}"/>
    <cellStyle name="Normal 21 4 2" xfId="5540" xr:uid="{BC648EFA-E8C2-421C-8D10-BC923D4B2BD2}"/>
    <cellStyle name="Normal 21 4 2 2" xfId="5541" xr:uid="{3CE28482-5741-48AC-90D8-56EF3E3CF25B}"/>
    <cellStyle name="Normal 21 4 2_Exist Trunk Assets - Ferry" xfId="9082" xr:uid="{EA1639BF-5111-409D-BE36-AD4377064084}"/>
    <cellStyle name="Normal 21 4 3" xfId="5542" xr:uid="{253A208A-A4E5-4DC8-A2DA-CDDC996AFDF0}"/>
    <cellStyle name="Normal 21 4_Exist Trunk Assets - Ferry" xfId="9081" xr:uid="{B7B532F3-8B30-4BCF-88BA-06A66C0D3104}"/>
    <cellStyle name="Normal 21 5" xfId="5543" xr:uid="{F5C3CDFD-C09C-4EA6-BCE3-8720BC0D914F}"/>
    <cellStyle name="Normal 21 5 2" xfId="5544" xr:uid="{17919BD3-AB7D-455A-8D4F-049489388160}"/>
    <cellStyle name="Normal 21 5_Exist Trunk Assets - Ferry" xfId="9083" xr:uid="{F9C9D287-9576-463A-B85B-CEBF7A41DAF1}"/>
    <cellStyle name="Normal 21 6" xfId="5545" xr:uid="{C22BE436-C686-4EBD-86E2-9254126235D6}"/>
    <cellStyle name="Normal 21_Exist Trunk Assets - Ferry" xfId="9076" xr:uid="{0B32B032-4621-4EFE-AE95-73E353205489}"/>
    <cellStyle name="Normal 210" xfId="5546" xr:uid="{663941A6-1190-4DA1-BA5B-F36E0674BA5A}"/>
    <cellStyle name="Normal 211" xfId="5547" xr:uid="{5F84DA92-423D-4E33-B9E6-B887427BEED3}"/>
    <cellStyle name="Normal 212" xfId="5548" xr:uid="{9681E1B5-5D3A-4498-930F-672F87F7CFBF}"/>
    <cellStyle name="Normal 213" xfId="5549" xr:uid="{7505A458-A24E-4575-86C4-6B4BB166AA96}"/>
    <cellStyle name="Normal 214" xfId="5550" xr:uid="{AAE0A68B-9015-4CD6-A53D-D0EBBBFAAA5D}"/>
    <cellStyle name="Normal 215" xfId="5551" xr:uid="{37CC582D-4C73-486B-B3C4-173D6849E510}"/>
    <cellStyle name="Normal 216" xfId="5552" xr:uid="{C65C3887-0955-4E0A-9D70-0A9C77060273}"/>
    <cellStyle name="Normal 217" xfId="5553" xr:uid="{C988035B-4E72-4820-9958-CD956CC2B436}"/>
    <cellStyle name="Normal 218" xfId="5554" xr:uid="{DC8986FD-68F9-42FA-A461-5D685E33B595}"/>
    <cellStyle name="Normal 219" xfId="5555" xr:uid="{0217D2A2-1B3F-4331-A9EB-ACDD6CAF3D29}"/>
    <cellStyle name="Normal 22" xfId="1485" xr:uid="{0FC6120B-4380-4E63-B714-65EDBA7126C4}"/>
    <cellStyle name="Normal 22 2" xfId="1486" xr:uid="{9D864A06-875C-4996-A490-11FEA994593C}"/>
    <cellStyle name="Normal 22 2 2" xfId="5556" xr:uid="{ADF07A80-1131-4950-B2EF-894AC0C6B2EC}"/>
    <cellStyle name="Normal 22 2 2 2" xfId="5557" xr:uid="{9098A4F5-1B7B-40AC-BC17-85937ACB1D5C}"/>
    <cellStyle name="Normal 22 2 2_Exist Trunk Assets - Ferry" xfId="9086" xr:uid="{1244DDA2-632D-42B8-9DE7-23436FA4F1D9}"/>
    <cellStyle name="Normal 22 2 3" xfId="5558" xr:uid="{7BD8E447-6FA2-4C18-983D-5850117B96F9}"/>
    <cellStyle name="Normal 22 2 3 2" xfId="5559" xr:uid="{804AE7B0-84EF-4D44-BA37-EDEA07250E97}"/>
    <cellStyle name="Normal 22 2 3_Exist Trunk Assets - Ferry" xfId="9087" xr:uid="{B9068915-0D0C-48C5-A52E-8C42F188E6D0}"/>
    <cellStyle name="Normal 22 2 4" xfId="5560" xr:uid="{1203531B-F574-410C-B179-1D3B40192D07}"/>
    <cellStyle name="Normal 22 2_Exist Trunk Assets - Ferry" xfId="9085" xr:uid="{309819D2-DB88-4618-AE9C-45FA642783CA}"/>
    <cellStyle name="Normal 22 3" xfId="2356" xr:uid="{96386C76-0E9D-40A5-933D-EF473A2E5CC5}"/>
    <cellStyle name="Normal 22 3 2" xfId="5561" xr:uid="{97E09A8C-FF65-4A41-95BA-3FD3F6A5B902}"/>
    <cellStyle name="Normal 22 3 3" xfId="5562" xr:uid="{D7BCA7AA-1B86-4AA0-B55C-7C4A8D531FEC}"/>
    <cellStyle name="Normal 22 3_Exist Trunk Assets - Ferry" xfId="9088" xr:uid="{2D60DCBA-781E-4D91-9E93-B037363588A8}"/>
    <cellStyle name="Normal 22 4" xfId="2550" xr:uid="{7BB0C25A-8682-4E0E-ABE2-A7C8512A0F6E}"/>
    <cellStyle name="Normal 22 4 2" xfId="5563" xr:uid="{4AC6F390-2A70-4FE2-8206-F9BAE762278A}"/>
    <cellStyle name="Normal 22 4 2 2" xfId="5564" xr:uid="{059E3496-F0E4-483D-923D-E56BB8CF0BC1}"/>
    <cellStyle name="Normal 22 4 2_Exist Trunk Assets - Ferry" xfId="9090" xr:uid="{ABD732BD-FD45-4F2A-B370-51B396C2CDD8}"/>
    <cellStyle name="Normal 22 4 3" xfId="5565" xr:uid="{8C28FF99-3F3D-40D6-A8A1-A085B045C93B}"/>
    <cellStyle name="Normal 22 4_Exist Trunk Assets - Ferry" xfId="9089" xr:uid="{DB48F601-5170-4AF6-9435-D7066C45E7BF}"/>
    <cellStyle name="Normal 22 5" xfId="5566" xr:uid="{AE64568F-6AB7-4B8B-BD05-8745AD296878}"/>
    <cellStyle name="Normal 22 5 2" xfId="5567" xr:uid="{37DF06A7-99B5-46F5-B096-ECB2868A0D6E}"/>
    <cellStyle name="Normal 22 5_Exist Trunk Assets - Ferry" xfId="9091" xr:uid="{61225B5A-81B7-428B-AA23-71EA818C1FFA}"/>
    <cellStyle name="Normal 22 6" xfId="5568" xr:uid="{0758734B-CA74-4745-83AA-4F3F88679A2D}"/>
    <cellStyle name="Normal 22_Exist Trunk Assets - Ferry" xfId="9084" xr:uid="{4932A9B9-54BA-4377-B232-C98C3577B8D4}"/>
    <cellStyle name="Normal 220" xfId="5569" xr:uid="{A1439DEB-BC73-4337-AEB6-4AA914193202}"/>
    <cellStyle name="Normal 221" xfId="5570" xr:uid="{C9931822-C2F9-429B-A58F-C4F99ED04EBB}"/>
    <cellStyle name="Normal 222" xfId="5571" xr:uid="{961E66C7-FF0F-4AE8-BFB0-4FFAF80DEF3F}"/>
    <cellStyle name="Normal 223" xfId="5572" xr:uid="{2D15F6B9-8B91-41CD-823A-1D6AD0C4A637}"/>
    <cellStyle name="Normal 224" xfId="5573" xr:uid="{7D5E8231-6AD4-4239-A58C-6B9C2F4F3781}"/>
    <cellStyle name="Normal 225" xfId="5574" xr:uid="{430311F3-F300-4A59-B11A-25F5749F0837}"/>
    <cellStyle name="Normal 226" xfId="5575" xr:uid="{E5614C3D-1CA6-4645-9ECF-4F1187C3C874}"/>
    <cellStyle name="Normal 227" xfId="5576" xr:uid="{A3D96625-8733-48A7-8338-230A707AFA13}"/>
    <cellStyle name="Normal 228" xfId="5577" xr:uid="{217DB69F-2EF1-4721-B3BB-8AB894B455F2}"/>
    <cellStyle name="Normal 229" xfId="5578" xr:uid="{6B54D69A-DCDE-4896-941A-1BBB3754534A}"/>
    <cellStyle name="Normal 23" xfId="1487" xr:uid="{5D6B89D8-8A47-4FAD-A8D7-9748DCE057E5}"/>
    <cellStyle name="Normal 23 2" xfId="1488" xr:uid="{E2E11B11-5932-418E-8EAF-7F29E8519B28}"/>
    <cellStyle name="Normal 23 2 2" xfId="5579" xr:uid="{4CE40ED3-1F04-4AA3-8E82-C9E44F5A12BA}"/>
    <cellStyle name="Normal 23 2 2 2" xfId="5580" xr:uid="{623D19B4-C184-4BE4-A917-48A2AC789F0E}"/>
    <cellStyle name="Normal 23 2 2_Exist Trunk Assets - Ferry" xfId="9094" xr:uid="{592E77BD-984C-43E8-A1BD-4D1C466D3812}"/>
    <cellStyle name="Normal 23 2 3" xfId="5581" xr:uid="{A4D26B1F-94F1-4EA9-9E12-BFCA14082803}"/>
    <cellStyle name="Normal 23 2 3 2" xfId="5582" xr:uid="{A2288FDC-F963-4EE2-A221-004018364513}"/>
    <cellStyle name="Normal 23 2 3_Exist Trunk Assets - Ferry" xfId="9095" xr:uid="{7A19A66A-8F94-4964-8DA5-36AE2024963F}"/>
    <cellStyle name="Normal 23 2 4" xfId="5583" xr:uid="{48FAA4EA-11FA-45FA-BAC4-7260EB3973FC}"/>
    <cellStyle name="Normal 23 2_Exist Trunk Assets - Ferry" xfId="9093" xr:uid="{97BD8492-7A09-4003-8E98-AC18665C1553}"/>
    <cellStyle name="Normal 23 3" xfId="2357" xr:uid="{0308AFBE-1685-4E31-B693-5472CABF1121}"/>
    <cellStyle name="Normal 23 3 2" xfId="5584" xr:uid="{1D95A7DE-F3AD-437E-AC6E-7E7B879739DA}"/>
    <cellStyle name="Normal 23 3 3" xfId="5585" xr:uid="{8A84F683-F662-4568-BC95-B16650F1AD1F}"/>
    <cellStyle name="Normal 23 3_Exist Trunk Assets - Ferry" xfId="9096" xr:uid="{033F633F-362A-4DE7-B78B-CE3519C2EB87}"/>
    <cellStyle name="Normal 23 4" xfId="2551" xr:uid="{846923BF-053A-4615-94FA-34ECA2779643}"/>
    <cellStyle name="Normal 23 4 2" xfId="5586" xr:uid="{BD387D71-7E9C-4505-B014-96FF05D1E044}"/>
    <cellStyle name="Normal 23 4 2 2" xfId="5587" xr:uid="{84F92F49-D254-4914-9803-A1BBA2C7D38D}"/>
    <cellStyle name="Normal 23 4 2_Exist Trunk Assets - Ferry" xfId="9098" xr:uid="{A09826C8-DF18-415B-8320-1F97F57C6437}"/>
    <cellStyle name="Normal 23 4 3" xfId="5588" xr:uid="{7AE95125-4DA2-481D-BC27-4AA6D6AFF4B6}"/>
    <cellStyle name="Normal 23 4_Exist Trunk Assets - Ferry" xfId="9097" xr:uid="{DF61E855-60C3-4D36-A4C2-25B88683E6E3}"/>
    <cellStyle name="Normal 23 5" xfId="5589" xr:uid="{620EAAB4-57E1-4EA9-BB80-05529366E6F4}"/>
    <cellStyle name="Normal 23 5 2" xfId="5590" xr:uid="{726FC9FF-987A-4E12-B672-D5E4BAF597EA}"/>
    <cellStyle name="Normal 23 5_Exist Trunk Assets - Ferry" xfId="9099" xr:uid="{8D74EBE5-7FD7-4790-85FA-5BD1570E64DF}"/>
    <cellStyle name="Normal 23 6" xfId="5591" xr:uid="{39F9598A-EDF4-4AB5-B853-620BC93CA3B3}"/>
    <cellStyle name="Normal 23_Exist Trunk Assets - Ferry" xfId="9092" xr:uid="{F145132D-96EB-47D7-A18A-F30733DF6F24}"/>
    <cellStyle name="Normal 230" xfId="5592" xr:uid="{91118337-9FF6-4C5D-A566-E0FED4D11C55}"/>
    <cellStyle name="Normal 231" xfId="5593" xr:uid="{A16A298D-813E-41C5-A42F-4DA0170D1CFC}"/>
    <cellStyle name="Normal 231 2" xfId="5594" xr:uid="{6824F976-442F-4F32-B11E-709955AFBE59}"/>
    <cellStyle name="Normal 231_Exist Trunk Assets - Ferry" xfId="9100" xr:uid="{494E19A3-1FB8-4C43-953D-4F906A19969D}"/>
    <cellStyle name="Normal 232" xfId="5595" xr:uid="{52414AA8-DCF0-4D8A-BAE0-96A99F2752CE}"/>
    <cellStyle name="Normal 232 2" xfId="5596" xr:uid="{746AF732-AD41-44EE-84D7-E1F2A88F425B}"/>
    <cellStyle name="Normal 232_Exist Trunk Assets - Ferry" xfId="9101" xr:uid="{50842A9B-0899-424D-8B4B-8E49399B754B}"/>
    <cellStyle name="Normal 233" xfId="5597" xr:uid="{6D56639E-43BA-4353-9303-574536D2706C}"/>
    <cellStyle name="Normal 233 2" xfId="5598" xr:uid="{321FFB9C-65B5-4B52-A021-2A514CB02F9A}"/>
    <cellStyle name="Normal 233_Exist Trunk Assets - Ferry" xfId="9102" xr:uid="{5FAAEF7C-04C6-4FBD-AEDE-502F8AC495D4}"/>
    <cellStyle name="Normal 234" xfId="5599" xr:uid="{0E505AE2-80B3-4BFE-ADCD-B5781FA786C9}"/>
    <cellStyle name="Normal 234 2" xfId="5600" xr:uid="{0AFB71B7-E2F0-4E09-911E-13ED60901B2B}"/>
    <cellStyle name="Normal 234_Exist Trunk Assets - Ferry" xfId="9103" xr:uid="{4205348B-B5CE-49A2-820F-70E920262B8F}"/>
    <cellStyle name="Normal 235" xfId="5601" xr:uid="{76E4F19C-BA6A-492A-91F1-15872B4EF635}"/>
    <cellStyle name="Normal 235 2" xfId="5602" xr:uid="{E6F14A7F-BA2E-47B6-9755-67D0282FA5FE}"/>
    <cellStyle name="Normal 235_Exist Trunk Assets - Ferry" xfId="9104" xr:uid="{31CA82B8-84C8-498C-97B3-7ACFE47751FF}"/>
    <cellStyle name="Normal 236" xfId="5603" xr:uid="{113BDB1D-4E18-448D-8BC8-2C10DA6235E7}"/>
    <cellStyle name="Normal 236 2" xfId="5604" xr:uid="{D10EFF61-198F-4C72-9DC8-5E6761A136D4}"/>
    <cellStyle name="Normal 236_Exist Trunk Assets - Ferry" xfId="9105" xr:uid="{3CFED55B-6DD4-4F3D-9BE4-FD666C6235CC}"/>
    <cellStyle name="Normal 237" xfId="5605" xr:uid="{F8B59763-1F0E-4111-A189-24D0FF0850D4}"/>
    <cellStyle name="Normal 237 2" xfId="5606" xr:uid="{0B3A112C-F37B-4906-AECB-3BC3F2599BB9}"/>
    <cellStyle name="Normal 237_Exist Trunk Assets - Ferry" xfId="9106" xr:uid="{F99FA492-6260-455B-AB53-F158D852294B}"/>
    <cellStyle name="Normal 238" xfId="5607" xr:uid="{E94B38D9-AC8F-475A-BAA1-C6FBC28BDB4E}"/>
    <cellStyle name="Normal 238 2" xfId="5608" xr:uid="{90FB2076-B013-4F4B-9384-A626A9A15432}"/>
    <cellStyle name="Normal 238_Exist Trunk Assets - Ferry" xfId="9107" xr:uid="{6530F68D-160C-48D5-8FF1-A8AFB2126DF0}"/>
    <cellStyle name="Normal 239" xfId="5609" xr:uid="{015BFF54-8BA2-4C4A-ABEF-899E9F8F1197}"/>
    <cellStyle name="Normal 239 2" xfId="5610" xr:uid="{1CD04D79-52CC-428F-BE06-F2C34CF90B66}"/>
    <cellStyle name="Normal 239_Exist Trunk Assets - Ferry" xfId="9108" xr:uid="{C18392CE-5C8B-4BCD-AFC1-5FAE58446218}"/>
    <cellStyle name="Normal 24" xfId="1489" xr:uid="{6D726F47-F1AB-4D25-AE21-99CB4E38F501}"/>
    <cellStyle name="Normal 24 2" xfId="1490" xr:uid="{DCC378E8-7937-4CD2-939A-E97021C53D17}"/>
    <cellStyle name="Normal 24 2 2" xfId="5611" xr:uid="{4659AC83-D638-4855-B4E6-1F94D2FD4025}"/>
    <cellStyle name="Normal 24 2 2 2" xfId="5612" xr:uid="{8477F30A-98F6-4755-8052-E0CD07B0B5D8}"/>
    <cellStyle name="Normal 24 2 2_Exist Trunk Assets - Ferry" xfId="9111" xr:uid="{A686470B-2941-4EE8-9B15-034D721D9AC0}"/>
    <cellStyle name="Normal 24 2 3" xfId="5613" xr:uid="{92F57A0D-D39C-4BD2-97FF-A55F982E97DE}"/>
    <cellStyle name="Normal 24 2 3 2" xfId="5614" xr:uid="{1CE25F12-868D-45EF-82CE-09EF8FF9784D}"/>
    <cellStyle name="Normal 24 2 3_Exist Trunk Assets - Ferry" xfId="9112" xr:uid="{3502DE70-9670-482D-8755-B65D5BA95BEB}"/>
    <cellStyle name="Normal 24 2 4" xfId="5615" xr:uid="{BFCB5AC8-F83C-4DDA-9CD7-163B5339A369}"/>
    <cellStyle name="Normal 24 2_Exist Trunk Assets - Ferry" xfId="9110" xr:uid="{C259179D-8773-4D1B-9C81-83CF18142397}"/>
    <cellStyle name="Normal 24 3" xfId="2358" xr:uid="{9B39985F-DDE7-46A4-843A-09F93BD673C4}"/>
    <cellStyle name="Normal 24 3 2" xfId="5616" xr:uid="{5A57648C-484A-4223-8570-3226745CA197}"/>
    <cellStyle name="Normal 24 3 3" xfId="5617" xr:uid="{1676844C-A423-4948-9933-C20C32299958}"/>
    <cellStyle name="Normal 24 3_Exist Trunk Assets - Ferry" xfId="9113" xr:uid="{EF3C855C-2B3C-4126-A7DA-C77887022B65}"/>
    <cellStyle name="Normal 24 4" xfId="2552" xr:uid="{29E61A18-9067-4D53-96C8-54ED0CF1C3A1}"/>
    <cellStyle name="Normal 24 4 2" xfId="5618" xr:uid="{AC677032-099D-4CBE-AF7D-E747DF797F83}"/>
    <cellStyle name="Normal 24 4 2 2" xfId="5619" xr:uid="{802C4E3B-5CE3-4A23-8E27-03A290795369}"/>
    <cellStyle name="Normal 24 4 2_Exist Trunk Assets - Ferry" xfId="9115" xr:uid="{06D722FA-C708-4852-99FB-EE61DA861928}"/>
    <cellStyle name="Normal 24 4 3" xfId="5620" xr:uid="{A21371B5-7DC6-42A8-B826-D9F80B9C7FC7}"/>
    <cellStyle name="Normal 24 4_Exist Trunk Assets - Ferry" xfId="9114" xr:uid="{D2E41F0E-6AA1-4D90-9425-13F27D274130}"/>
    <cellStyle name="Normal 24 5" xfId="5621" xr:uid="{1DAC7150-124F-48DB-A253-0A1FDC1F9AE7}"/>
    <cellStyle name="Normal 24 5 2" xfId="5622" xr:uid="{CB474718-1D64-4E25-AD68-25B28001580F}"/>
    <cellStyle name="Normal 24 5_Exist Trunk Assets - Ferry" xfId="9116" xr:uid="{A33E139E-8D64-4904-991D-AFE30D9C7DEF}"/>
    <cellStyle name="Normal 24 6" xfId="5623" xr:uid="{C03E3741-25F7-4623-9822-E351CC165117}"/>
    <cellStyle name="Normal 24_Exist Trunk Assets - Ferry" xfId="9109" xr:uid="{882E7543-F23F-424C-9DAC-4093A08F5186}"/>
    <cellStyle name="Normal 240" xfId="5624" xr:uid="{34628E67-7BFD-4AD5-A8D0-D15BA8B9021F}"/>
    <cellStyle name="Normal 240 2" xfId="5625" xr:uid="{95283FFA-C5B7-46C7-B0CA-DE732A420E4E}"/>
    <cellStyle name="Normal 240 3" xfId="5626" xr:uid="{4FCE45FC-F4B0-4BDA-9946-32A24C2D5C14}"/>
    <cellStyle name="Normal 240_Exist Trunk Assets - Ferry" xfId="9117" xr:uid="{0BDC18B5-8512-4268-98E0-E1BE18ED0975}"/>
    <cellStyle name="Normal 241" xfId="5627" xr:uid="{DEB88609-1946-4E71-BF88-DE3037266336}"/>
    <cellStyle name="Normal 242" xfId="5628" xr:uid="{811E2B52-4AB4-4913-A90B-595F028A8F2F}"/>
    <cellStyle name="Normal 243" xfId="5629" xr:uid="{E69A1C8F-D09A-40C0-B11D-E32A4DAFC4AD}"/>
    <cellStyle name="Normal 244" xfId="5630" xr:uid="{127FA0CB-BE24-4EE0-8AA1-FB7FB47667C3}"/>
    <cellStyle name="Normal 245" xfId="5631" xr:uid="{261A0F46-7EDB-4CB5-8F0C-CD9A6CC936FE}"/>
    <cellStyle name="Normal 246" xfId="5632" xr:uid="{4492EF06-BEBC-4823-86FD-4BD20EB8B6FE}"/>
    <cellStyle name="Normal 247" xfId="5633" xr:uid="{C196FBFD-2453-4121-8CD3-359CA65D0A46}"/>
    <cellStyle name="Normal 248" xfId="5634" xr:uid="{7468A1F5-B37B-44B6-9589-366CF8BC3806}"/>
    <cellStyle name="Normal 249" xfId="5635" xr:uid="{C5AF16EC-CFA1-4A7F-9FC9-2532BDE65B86}"/>
    <cellStyle name="Normal 25" xfId="1491" xr:uid="{3D44C979-AC5B-49CD-90FA-13F6348C4436}"/>
    <cellStyle name="Normal 25 2" xfId="1492" xr:uid="{55CB9CF4-31C7-4D39-8B11-1E18CEADFDB4}"/>
    <cellStyle name="Normal 25 2 2" xfId="5636" xr:uid="{147B0514-F5A4-4D71-9D79-880B3FCD4D3E}"/>
    <cellStyle name="Normal 25 2 2 2" xfId="5637" xr:uid="{A16DD4C6-C306-4CD8-A2AC-F18DAA639BBE}"/>
    <cellStyle name="Normal 25 2 2_Exist Trunk Assets - Ferry" xfId="9120" xr:uid="{99DB6D76-9C2D-4D30-BFC3-9FBDA79A4FF6}"/>
    <cellStyle name="Normal 25 2 3" xfId="5638" xr:uid="{0B99C2B9-9DBB-42A1-82BF-0A0E24810212}"/>
    <cellStyle name="Normal 25 2 3 2" xfId="5639" xr:uid="{A52DCC99-B4D6-4C8B-95AA-BFA8D19AA560}"/>
    <cellStyle name="Normal 25 2 3_Exist Trunk Assets - Ferry" xfId="9121" xr:uid="{A8782DD7-F3BE-45E9-B048-80ED955AE765}"/>
    <cellStyle name="Normal 25 2 4" xfId="5640" xr:uid="{7D5C047C-8806-452E-A58B-6F30546D2234}"/>
    <cellStyle name="Normal 25 2_Exist Trunk Assets - Ferry" xfId="9119" xr:uid="{E4BC031D-F5C1-4721-80A9-43C190E414A8}"/>
    <cellStyle name="Normal 25 3" xfId="2359" xr:uid="{922663C3-2A13-4123-BEFE-9F638BFCFB13}"/>
    <cellStyle name="Normal 25 3 2" xfId="5641" xr:uid="{49023BA8-5E43-417C-A69B-6081A5D967BA}"/>
    <cellStyle name="Normal 25 3 3" xfId="5642" xr:uid="{229B91FB-0504-4149-971F-F1CAD7B08AC0}"/>
    <cellStyle name="Normal 25 3_Exist Trunk Assets - Ferry" xfId="9122" xr:uid="{B18F01C9-152A-426D-8C6F-902E2257F208}"/>
    <cellStyle name="Normal 25 4" xfId="2553" xr:uid="{8F5DB048-B3C7-4FE8-BED9-217B0E9938A2}"/>
    <cellStyle name="Normal 25 4 2" xfId="5643" xr:uid="{24486E20-1C5D-45F7-9A65-A46DDBABE62A}"/>
    <cellStyle name="Normal 25 4 2 2" xfId="5644" xr:uid="{B65CB4AC-D363-4B5E-95E2-3118D11E9013}"/>
    <cellStyle name="Normal 25 4 2_Exist Trunk Assets - Ferry" xfId="9124" xr:uid="{EC59A88C-C634-4535-A734-1FBDFFFA106C}"/>
    <cellStyle name="Normal 25 4 3" xfId="5645" xr:uid="{9D752553-55D6-4B99-B75F-34E73A94DE38}"/>
    <cellStyle name="Normal 25 4_Exist Trunk Assets - Ferry" xfId="9123" xr:uid="{96D37726-F422-4E7F-AF02-3E9C69805C35}"/>
    <cellStyle name="Normal 25 5" xfId="5646" xr:uid="{3CE8C692-B088-40A6-9ED8-0E4856FE63C2}"/>
    <cellStyle name="Normal 25 5 2" xfId="5647" xr:uid="{D3AC7230-68E4-482C-AB77-192911404FD4}"/>
    <cellStyle name="Normal 25 5_Exist Trunk Assets - Ferry" xfId="9125" xr:uid="{CADBEC2C-261F-4CA0-92AF-2F7A8F867CF2}"/>
    <cellStyle name="Normal 25 6" xfId="5648" xr:uid="{DCA0CD40-D70B-49D7-A461-45BA57D64FEA}"/>
    <cellStyle name="Normal 25_Exist Trunk Assets - Ferry" xfId="9118" xr:uid="{FF1DB72F-EBDD-4498-AA05-F74E22AE4132}"/>
    <cellStyle name="Normal 250" xfId="5649" xr:uid="{BBDC2B02-85A3-4F73-B9F4-5BE50199BB8B}"/>
    <cellStyle name="Normal 251" xfId="5650" xr:uid="{0E074757-BEB6-4A5B-BEC4-D25BB96E6959}"/>
    <cellStyle name="Normal 252" xfId="5651" xr:uid="{5797E2EF-6452-4BA9-B06A-4FA3D3819F75}"/>
    <cellStyle name="Normal 26" xfId="1493" xr:uid="{529A996A-5E24-4B30-8E18-1487B2B56B28}"/>
    <cellStyle name="Normal 26 2" xfId="1494" xr:uid="{994C2B5C-A1BE-4317-813B-AA04BB865C47}"/>
    <cellStyle name="Normal 26 2 2" xfId="5652" xr:uid="{40E76B16-A41E-41A4-BF42-B24835FDEB02}"/>
    <cellStyle name="Normal 26 2 2 2" xfId="5653" xr:uid="{079862A9-C5B7-418B-A877-A7D03B452E82}"/>
    <cellStyle name="Normal 26 2 2_Exist Trunk Assets - Ferry" xfId="9128" xr:uid="{FC4EAB84-1A53-47BA-AC75-A82370F925DD}"/>
    <cellStyle name="Normal 26 2 3" xfId="5654" xr:uid="{7641B60B-CBA4-4116-8115-C389E07F3636}"/>
    <cellStyle name="Normal 26 2 3 2" xfId="5655" xr:uid="{DF3F2577-D22F-4371-89CD-038B1131004D}"/>
    <cellStyle name="Normal 26 2 3_Exist Trunk Assets - Ferry" xfId="9129" xr:uid="{653052D5-504D-4196-A99C-DA81110E1343}"/>
    <cellStyle name="Normal 26 2 4" xfId="5656" xr:uid="{1AE425E8-3767-435F-A87C-18C30DEEB77F}"/>
    <cellStyle name="Normal 26 2_Exist Trunk Assets - Ferry" xfId="9127" xr:uid="{62D6FE6D-927C-4F3D-BDDF-068EFE15F781}"/>
    <cellStyle name="Normal 26 3" xfId="2360" xr:uid="{58DD3E74-22EE-4C80-8DE6-E454B05EF6FB}"/>
    <cellStyle name="Normal 26 3 2" xfId="5657" xr:uid="{2F667D5F-D656-4E9D-8491-619A3B54A846}"/>
    <cellStyle name="Normal 26 3 3" xfId="5658" xr:uid="{4ADFF615-F978-4598-B0A2-C33EDB962926}"/>
    <cellStyle name="Normal 26 3_Exist Trunk Assets - Ferry" xfId="9130" xr:uid="{BF0CF5CB-FD10-4F42-8D19-102EA2D88EF7}"/>
    <cellStyle name="Normal 26 4" xfId="2554" xr:uid="{DBCBEF54-6C4A-416B-A6FC-156B409FE8F9}"/>
    <cellStyle name="Normal 26 4 2" xfId="5659" xr:uid="{A66BC04F-7246-4707-BE3C-78CFA08EC57B}"/>
    <cellStyle name="Normal 26 4 2 2" xfId="5660" xr:uid="{6D5D0787-C7CE-4E5A-A9A1-CD514BE5F384}"/>
    <cellStyle name="Normal 26 4 2_Exist Trunk Assets - Ferry" xfId="9132" xr:uid="{C05094B8-22E4-44EF-A23D-EF4114372C9E}"/>
    <cellStyle name="Normal 26 4 3" xfId="5661" xr:uid="{36C9E92D-83D2-4D9C-A382-F1E2986A15A5}"/>
    <cellStyle name="Normal 26 4_Exist Trunk Assets - Ferry" xfId="9131" xr:uid="{A0CE7008-4906-4917-8B9D-ECF145F897F1}"/>
    <cellStyle name="Normal 26 5" xfId="5662" xr:uid="{9BD76083-1D7E-44FC-863B-9AA8C4F4A88B}"/>
    <cellStyle name="Normal 26 5 2" xfId="5663" xr:uid="{12851326-BFCE-47C7-83E3-09F93557C81A}"/>
    <cellStyle name="Normal 26 5_Exist Trunk Assets - Ferry" xfId="9133" xr:uid="{999A7EE1-2DA0-4CD5-8853-DD23154D00F9}"/>
    <cellStyle name="Normal 26 6" xfId="5664" xr:uid="{209CCD54-0F98-4457-B363-2F386BC2F4D9}"/>
    <cellStyle name="Normal 26_Exist Trunk Assets - Ferry" xfId="9126" xr:uid="{16AB0878-AB66-4FFF-A754-6300526EB3B9}"/>
    <cellStyle name="Normal 27" xfId="1495" xr:uid="{762C2CFF-9A47-4851-83BC-8A4D7C268BE2}"/>
    <cellStyle name="Normal 27 2" xfId="1496" xr:uid="{332CD697-D938-431D-838F-448BAD5F65A1}"/>
    <cellStyle name="Normal 27 2 2" xfId="5665" xr:uid="{11CA409B-933B-4F0E-A471-5B3E3D663CCE}"/>
    <cellStyle name="Normal 27 2 2 2" xfId="5666" xr:uid="{EF96D3DF-2FE8-4375-9B5C-AE6C4F40DDE2}"/>
    <cellStyle name="Normal 27 2 2_Exist Trunk Assets - Ferry" xfId="9136" xr:uid="{31A138B7-B651-45B3-85CF-A7D0EDE20EAC}"/>
    <cellStyle name="Normal 27 2 3" xfId="5667" xr:uid="{0F3CE84B-5B45-4F8F-A140-27AE2C23108E}"/>
    <cellStyle name="Normal 27 2 3 2" xfId="5668" xr:uid="{E335BB38-BA16-4013-9851-F2F6AF64AD22}"/>
    <cellStyle name="Normal 27 2 3_Exist Trunk Assets - Ferry" xfId="9137" xr:uid="{1CBC0677-D1C1-4AF8-82FB-1C9874E61CE7}"/>
    <cellStyle name="Normal 27 2 4" xfId="5669" xr:uid="{B1326492-8BAF-41B2-91F6-61E3D75F7D42}"/>
    <cellStyle name="Normal 27 2_Exist Trunk Assets - Ferry" xfId="9135" xr:uid="{AF20E2C2-AA57-4B31-8F25-C7F4B855AF09}"/>
    <cellStyle name="Normal 27 3" xfId="2361" xr:uid="{6BB5A9F4-B2F5-4996-8F17-27AD86A2E30B}"/>
    <cellStyle name="Normal 27 3 2" xfId="5670" xr:uid="{9EF39C62-834B-4A93-B229-062A1066F448}"/>
    <cellStyle name="Normal 27 3 3" xfId="5671" xr:uid="{389CA419-1F15-4114-8635-11D9AAD72D32}"/>
    <cellStyle name="Normal 27 3_Exist Trunk Assets - Ferry" xfId="9138" xr:uid="{FEEA9562-B903-458C-9292-571B68428D76}"/>
    <cellStyle name="Normal 27 4" xfId="2555" xr:uid="{00D73152-0AB6-4F59-BCC4-630ACBAD6246}"/>
    <cellStyle name="Normal 27 4 2" xfId="5672" xr:uid="{32C2B1AE-CC51-433D-B70E-80CE842B71C2}"/>
    <cellStyle name="Normal 27 4 2 2" xfId="5673" xr:uid="{13F5004D-7AD5-4809-BDFA-13D26B32515B}"/>
    <cellStyle name="Normal 27 4 2_Exist Trunk Assets - Ferry" xfId="9140" xr:uid="{08A231E0-1B4D-4FF7-ADF4-EFC7FA9F9B7E}"/>
    <cellStyle name="Normal 27 4 3" xfId="5674" xr:uid="{43215A5A-1954-4539-9C9C-B78AA8B97DE5}"/>
    <cellStyle name="Normal 27 4_Exist Trunk Assets - Ferry" xfId="9139" xr:uid="{6B9CB98D-E81F-4535-9E52-285F39E68E3C}"/>
    <cellStyle name="Normal 27 5" xfId="5675" xr:uid="{67631508-2A15-47CE-94FE-5DEE020E6F0B}"/>
    <cellStyle name="Normal 27 5 2" xfId="5676" xr:uid="{BB8FB8EC-3018-4B3C-9014-E7EBE6A450C6}"/>
    <cellStyle name="Normal 27 5_Exist Trunk Assets - Ferry" xfId="9141" xr:uid="{3E0911DE-5965-4327-A34B-B1E94C6EE236}"/>
    <cellStyle name="Normal 27 6" xfId="5677" xr:uid="{23F43B9C-B22C-4C6D-A906-E55EE3117F7F}"/>
    <cellStyle name="Normal 27_Exist Trunk Assets - Ferry" xfId="9134" xr:uid="{D799C404-7656-4A69-A8F4-ABB753A2FB96}"/>
    <cellStyle name="Normal 28" xfId="1497" xr:uid="{EC2D9C64-3C74-4AEF-BB53-3AA2F5478679}"/>
    <cellStyle name="Normal 28 2" xfId="1498" xr:uid="{B6740E89-B339-4E7F-8430-7E02BE0B757B}"/>
    <cellStyle name="Normal 28 2 2" xfId="5678" xr:uid="{A272C40B-77DA-4D5D-AFC7-3DD496416364}"/>
    <cellStyle name="Normal 28 2 2 2" xfId="5679" xr:uid="{91FF8D88-90F3-4748-B16C-49686A9802A9}"/>
    <cellStyle name="Normal 28 2 2_Exist Trunk Assets - Ferry" xfId="9144" xr:uid="{50316EE3-3516-40C0-AF2A-D33B8975ED5B}"/>
    <cellStyle name="Normal 28 2 3" xfId="5680" xr:uid="{4C4AC12C-0D91-4C7C-AE05-1BE342C34644}"/>
    <cellStyle name="Normal 28 2 3 2" xfId="5681" xr:uid="{84D38B15-B210-403C-9166-54EDA0B33B8A}"/>
    <cellStyle name="Normal 28 2 3_Exist Trunk Assets - Ferry" xfId="9145" xr:uid="{0EF95069-C6E4-438B-9D78-0869367479E8}"/>
    <cellStyle name="Normal 28 2 4" xfId="5682" xr:uid="{23A82748-A179-4469-988E-9770D6A60413}"/>
    <cellStyle name="Normal 28 2_Exist Trunk Assets - Ferry" xfId="9143" xr:uid="{25904108-FD5D-4EC7-9194-567B436770AB}"/>
    <cellStyle name="Normal 28 3" xfId="2362" xr:uid="{15BF233D-63A3-4869-94B0-F2DA570B355C}"/>
    <cellStyle name="Normal 28 3 2" xfId="5683" xr:uid="{906EF724-209B-4F8A-87C7-8B7C1AD8B6D1}"/>
    <cellStyle name="Normal 28 3 3" xfId="5684" xr:uid="{B61850CC-718A-4BBA-9F11-B1531E9BEBCF}"/>
    <cellStyle name="Normal 28 3_Exist Trunk Assets - Ferry" xfId="9146" xr:uid="{B2B98545-B461-48DC-837C-663F8AC9C7A6}"/>
    <cellStyle name="Normal 28 4" xfId="2556" xr:uid="{18048FC5-E4AA-4A53-BE5A-9026FB58F822}"/>
    <cellStyle name="Normal 28 4 2" xfId="5685" xr:uid="{394553F8-6CDB-498F-B1BA-38EA821BA328}"/>
    <cellStyle name="Normal 28 4 2 2" xfId="5686" xr:uid="{DBB09F1D-9E30-4B15-ADB8-50B4216A3FB3}"/>
    <cellStyle name="Normal 28 4 2_Exist Trunk Assets - Ferry" xfId="9148" xr:uid="{6C7E77F3-C994-405D-B6A7-F9143015EEFC}"/>
    <cellStyle name="Normal 28 4 3" xfId="5687" xr:uid="{2C502793-5204-43A4-B6A9-D70050C5244A}"/>
    <cellStyle name="Normal 28 4_Exist Trunk Assets - Ferry" xfId="9147" xr:uid="{5557324B-487B-42E6-9981-0789F74139E5}"/>
    <cellStyle name="Normal 28 5" xfId="5688" xr:uid="{9D8EEF95-8C8C-4BE9-A58F-064A05EECA1E}"/>
    <cellStyle name="Normal 28 5 2" xfId="5689" xr:uid="{223F11DB-6B36-4F05-BBC0-050A29EF62ED}"/>
    <cellStyle name="Normal 28 5_Exist Trunk Assets - Ferry" xfId="9149" xr:uid="{E198FD7D-2E85-4FAB-9A46-9DDE084911DA}"/>
    <cellStyle name="Normal 28 6" xfId="5690" xr:uid="{EFDE314F-844A-4D24-B80A-4B4F08E2EB67}"/>
    <cellStyle name="Normal 28_Exist Trunk Assets - Ferry" xfId="9142" xr:uid="{4E825EA2-9241-4913-9C30-997F55AF1098}"/>
    <cellStyle name="Normal 29" xfId="1499" xr:uid="{B55C09D4-8513-4619-802B-284AEFB52C9D}"/>
    <cellStyle name="Normal 29 2" xfId="1500" xr:uid="{9060405F-0C2A-41E1-AC27-89629555E1FF}"/>
    <cellStyle name="Normal 29 2 2" xfId="5691" xr:uid="{56B12655-BB1B-441D-AA2D-72E85BF2C153}"/>
    <cellStyle name="Normal 29 2 2 2" xfId="5692" xr:uid="{6F2F2F14-9049-4EB8-8C7C-0B70E4640F3E}"/>
    <cellStyle name="Normal 29 2 2_Exist Trunk Assets - Ferry" xfId="9152" xr:uid="{EC5ED538-F2E4-4F93-AE66-9C3ECC0B04A4}"/>
    <cellStyle name="Normal 29 2 3" xfId="5693" xr:uid="{73922262-8638-4535-AD99-2B82287982D3}"/>
    <cellStyle name="Normal 29 2 3 2" xfId="5694" xr:uid="{14E6D2EF-834A-465D-85C7-DE2EAAA66BBE}"/>
    <cellStyle name="Normal 29 2 3_Exist Trunk Assets - Ferry" xfId="9153" xr:uid="{F3CD6FC2-409B-467E-B0A1-E7E12B75ECC8}"/>
    <cellStyle name="Normal 29 2 4" xfId="5695" xr:uid="{610A25FB-10E9-4A70-9527-B3E88B3A1685}"/>
    <cellStyle name="Normal 29 2_Exist Trunk Assets - Ferry" xfId="9151" xr:uid="{0BE28A39-28AA-4C26-934B-A8D07C582195}"/>
    <cellStyle name="Normal 29 3" xfId="2363" xr:uid="{6DEBB92E-193E-42A9-AC99-18E9A223E824}"/>
    <cellStyle name="Normal 29 3 2" xfId="5696" xr:uid="{CC1617CE-DD9C-4A73-AE87-D1A91075222E}"/>
    <cellStyle name="Normal 29 3 3" xfId="5697" xr:uid="{21016185-DDFA-4E40-A62B-B9C7681B2CCB}"/>
    <cellStyle name="Normal 29 3_Exist Trunk Assets - Ferry" xfId="9154" xr:uid="{C6FF4018-D990-41B6-AB8C-95330849934E}"/>
    <cellStyle name="Normal 29 4" xfId="2557" xr:uid="{89008E87-09CA-4085-A000-34D160C32585}"/>
    <cellStyle name="Normal 29 4 2" xfId="5698" xr:uid="{FE0481CA-CCEC-4330-9153-A36AA0FC0C25}"/>
    <cellStyle name="Normal 29 4 2 2" xfId="5699" xr:uid="{443C66A7-D3A5-4599-AEAF-01BDA51F75F4}"/>
    <cellStyle name="Normal 29 4 2_Exist Trunk Assets - Ferry" xfId="9156" xr:uid="{9FBD7BC6-3E2B-478B-828B-F5E1250BDFB3}"/>
    <cellStyle name="Normal 29 4 3" xfId="5700" xr:uid="{7017B5CE-0F8A-4841-94E1-1653169E91C1}"/>
    <cellStyle name="Normal 29 4_Exist Trunk Assets - Ferry" xfId="9155" xr:uid="{F758C05A-D269-4121-A4E2-98FD41EE50E2}"/>
    <cellStyle name="Normal 29 5" xfId="5701" xr:uid="{E074BA3B-36CC-43AC-8307-6F554E425635}"/>
    <cellStyle name="Normal 29 5 2" xfId="5702" xr:uid="{C084C047-5238-4CB5-B451-D12F224D2FD5}"/>
    <cellStyle name="Normal 29 5_Exist Trunk Assets - Ferry" xfId="9157" xr:uid="{7A8E2795-BE76-47AB-BA05-382FFFDBDACE}"/>
    <cellStyle name="Normal 29 6" xfId="5703" xr:uid="{87A1E871-8CCE-489D-8035-A842D69DD837}"/>
    <cellStyle name="Normal 29_Exist Trunk Assets - Ferry" xfId="9150" xr:uid="{A2D905AD-4149-410B-9028-175257952D44}"/>
    <cellStyle name="Normal 3" xfId="9" xr:uid="{514C8965-D339-4377-8E59-11FBA05CFF77}"/>
    <cellStyle name="Normal 3 2" xfId="1501" xr:uid="{7A1B033C-8D9C-4376-93D3-8855418A1B2B}"/>
    <cellStyle name="Normal 3 2 2" xfId="1502" xr:uid="{4D867AF5-48BB-4C7A-A429-98B8CEAEDE5E}"/>
    <cellStyle name="Normal 3 2 2 2" xfId="1503" xr:uid="{3B6903BE-20EB-4BED-AB3C-10A0EFB99EE5}"/>
    <cellStyle name="Normal 3 2 2 2 2" xfId="5704" xr:uid="{C9D5EF91-7FDA-4088-B667-483B73DD79CE}"/>
    <cellStyle name="Normal 3 2 2 2 2 2" xfId="5705" xr:uid="{8CDA968F-2C02-42DF-8B20-3E9CF903FE46}"/>
    <cellStyle name="Normal 3 2 2 2 2_Exist Trunk Assets - Ferry" xfId="9162" xr:uid="{2ED06B88-040C-4D99-8D4E-879F045471A8}"/>
    <cellStyle name="Normal 3 2 2 2 3" xfId="5706" xr:uid="{007478B0-5A89-40D1-A288-3AF5F6BE9C9D}"/>
    <cellStyle name="Normal 3 2 2 2 3 2" xfId="5707" xr:uid="{479C88BF-48C3-4150-A785-522D45B069D4}"/>
    <cellStyle name="Normal 3 2 2 2 3_Exist Trunk Assets - Ferry" xfId="9163" xr:uid="{922EDF7A-FB9C-4E85-B634-290FC696CAEC}"/>
    <cellStyle name="Normal 3 2 2 2 4" xfId="5708" xr:uid="{602EE49F-5510-4C54-BD9B-1E2B1E3DF132}"/>
    <cellStyle name="Normal 3 2 2 2_Exist Trunk Assets - Ferry" xfId="9161" xr:uid="{3B7E7963-64DE-45F4-858A-B3CEDAABC9E9}"/>
    <cellStyle name="Normal 3 2 2 3" xfId="5709" xr:uid="{9066374B-818F-42C3-A097-2BF8287E64B1}"/>
    <cellStyle name="Normal 3 2 2 3 2" xfId="5710" xr:uid="{F4B6DB1D-3BAD-4B7F-BEB0-0442529B7180}"/>
    <cellStyle name="Normal 3 2 2 3_Exist Trunk Assets - Ferry" xfId="9164" xr:uid="{B4E98EBD-E4E6-423D-BB68-F1918E2C740B}"/>
    <cellStyle name="Normal 3 2 2 4" xfId="5711" xr:uid="{8AA7ECA5-E173-4608-A6AF-B36014FF3E37}"/>
    <cellStyle name="Normal 3 2 2 4 2" xfId="5712" xr:uid="{7450C57B-F0FD-4764-AD4A-C90120DCC464}"/>
    <cellStyle name="Normal 3 2 2 4_Exist Trunk Assets - Ferry" xfId="9165" xr:uid="{D3BF2460-6909-497F-A94C-1901896E2A04}"/>
    <cellStyle name="Normal 3 2 2 5" xfId="5713" xr:uid="{F21B5E7F-4097-4640-A98B-92BB144DD61A}"/>
    <cellStyle name="Normal 3 2 2_Exist Trunk Assets - Ferry" xfId="9160" xr:uid="{D01EBD3E-0A75-4632-A6EC-3F6EA5142AF2}"/>
    <cellStyle name="Normal 3 2 3" xfId="1504" xr:uid="{7A11D0C2-9EF9-41E6-A280-EB3D59A71325}"/>
    <cellStyle name="Normal 3 2 3 2" xfId="1505" xr:uid="{6B549BB4-0C09-4166-ACC6-BDDE4F331384}"/>
    <cellStyle name="Normal 3 2 3 2 2" xfId="5714" xr:uid="{D1CC6B7A-F208-4708-B659-1998B7FFE20E}"/>
    <cellStyle name="Normal 3 2 3 2 2 2" xfId="5715" xr:uid="{3177E943-0264-4288-8BCE-C98E049734F4}"/>
    <cellStyle name="Normal 3 2 3 2 2_Exist Trunk Assets - Ferry" xfId="9168" xr:uid="{24A10E56-2C9C-4908-8316-23150DD71FB1}"/>
    <cellStyle name="Normal 3 2 3 2 3" xfId="5716" xr:uid="{705766CF-2814-400A-AFC8-25F065CC18D8}"/>
    <cellStyle name="Normal 3 2 3 2 3 2" xfId="5717" xr:uid="{63AE00E5-5ED6-4264-97FE-D2DC9AFE7BD7}"/>
    <cellStyle name="Normal 3 2 3 2 3_Exist Trunk Assets - Ferry" xfId="9169" xr:uid="{C03AFA63-A4EB-4990-9C9E-BC910CA331F7}"/>
    <cellStyle name="Normal 3 2 3 2 4" xfId="5718" xr:uid="{264C18E0-FA0C-4A3D-B2B9-EDAEFCF40E03}"/>
    <cellStyle name="Normal 3 2 3 2_Exist Trunk Assets - Ferry" xfId="9167" xr:uid="{210D8668-9347-483D-B054-753D5EDC5B96}"/>
    <cellStyle name="Normal 3 2 3 3" xfId="5719" xr:uid="{7D807927-F118-4AB1-9C1C-7A462002D3C0}"/>
    <cellStyle name="Normal 3 2 3 3 2" xfId="5720" xr:uid="{76797BDB-233B-4E4C-A920-75D41CCB79A8}"/>
    <cellStyle name="Normal 3 2 3 3_Exist Trunk Assets - Ferry" xfId="9170" xr:uid="{7E6383B2-A274-4128-BDEC-6DD67487D278}"/>
    <cellStyle name="Normal 3 2 3 4" xfId="5721" xr:uid="{E13C5DC2-C091-4F8E-8BC4-542E84E5A2D3}"/>
    <cellStyle name="Normal 3 2 3 4 2" xfId="5722" xr:uid="{69B70E96-FC65-4EE0-BE62-F733E046AEE3}"/>
    <cellStyle name="Normal 3 2 3 4_Exist Trunk Assets - Ferry" xfId="9171" xr:uid="{56D27750-1BE4-4BDE-8F61-3137593FA7EC}"/>
    <cellStyle name="Normal 3 2 3 5" xfId="5723" xr:uid="{C832801C-AFF9-49F0-8F5C-0560BFA74EF3}"/>
    <cellStyle name="Normal 3 2 3_Exist Trunk Assets - Ferry" xfId="9166" xr:uid="{A17BBDBA-8540-424F-B50B-980E28418507}"/>
    <cellStyle name="Normal 3 2 4" xfId="1506" xr:uid="{9AFA6117-A4A8-47AC-8E42-3620EB4C0E19}"/>
    <cellStyle name="Normal 3 2 4 2" xfId="5724" xr:uid="{A177E9CD-C904-4C2C-8085-F67C98E1E2A2}"/>
    <cellStyle name="Normal 3 2 4 2 2" xfId="5725" xr:uid="{D002E3E5-B6DF-4C53-A968-3F959D7A7AE8}"/>
    <cellStyle name="Normal 3 2 4 2_Exist Trunk Assets - Ferry" xfId="9173" xr:uid="{826B0893-7858-4823-9AEF-FC4C5B3C0486}"/>
    <cellStyle name="Normal 3 2 4 3" xfId="5726" xr:uid="{71449232-6265-4656-9F69-E837101E0186}"/>
    <cellStyle name="Normal 3 2 4 3 2" xfId="5727" xr:uid="{F389A5E5-BCE5-40E1-948A-007925C1CD8A}"/>
    <cellStyle name="Normal 3 2 4 3_Exist Trunk Assets - Ferry" xfId="9174" xr:uid="{468E8A6D-CA69-4860-8129-4FEBB8D8CF4D}"/>
    <cellStyle name="Normal 3 2 4 4" xfId="5728" xr:uid="{BD1DC377-0458-4748-B6CE-F2DAF3F4B4F5}"/>
    <cellStyle name="Normal 3 2 4_Exist Trunk Assets - Ferry" xfId="9172" xr:uid="{FC07F7C1-EF41-4219-8E48-5671BD1ECAAA}"/>
    <cellStyle name="Normal 3 2 5" xfId="2164" xr:uid="{63568AA8-CFD8-4E3E-B9E8-427D6190EACA}"/>
    <cellStyle name="Normal 3 2 5 2" xfId="5729" xr:uid="{9FF187FD-19B4-4C0D-B7F1-6AAB6EA3FADE}"/>
    <cellStyle name="Normal 3 2 5 3" xfId="5730" xr:uid="{FCF8A358-CA71-4842-A860-BC906CA1A214}"/>
    <cellStyle name="Normal 3 2 5_Exist Trunk Assets - Ferry" xfId="9175" xr:uid="{13134F05-5CEE-4B08-ADA4-C2ED35A31054}"/>
    <cellStyle name="Normal 3 2 6" xfId="5731" xr:uid="{E8A0C0BB-8E64-472A-8A4B-85DCDC889FE8}"/>
    <cellStyle name="Normal 3 2 6 2" xfId="5732" xr:uid="{2514C28D-3198-4E27-8AA6-740650A14EA2}"/>
    <cellStyle name="Normal 3 2 6_Exist Trunk Assets - Ferry" xfId="9176" xr:uid="{172609E6-7941-449C-BA3D-552551AB5E69}"/>
    <cellStyle name="Normal 3 2 7" xfId="5733" xr:uid="{06F38971-434A-4765-9D75-F1EED21C2878}"/>
    <cellStyle name="Normal 3 2 7 2" xfId="5734" xr:uid="{45847911-4153-4698-8EF6-B9EFF3110FB9}"/>
    <cellStyle name="Normal 3 2 7_Exist Trunk Assets - Ferry" xfId="9177" xr:uid="{49E0F863-A118-4376-9FB4-FB77BAEFC9AD}"/>
    <cellStyle name="Normal 3 2 8" xfId="5735" xr:uid="{36849D42-2E19-4DD6-9697-41516FBF151E}"/>
    <cellStyle name="Normal 3 2_Exist Trunk Assets - Ferry" xfId="9159" xr:uid="{8D71D9EC-030A-448A-A438-F255A6C4619E}"/>
    <cellStyle name="Normal 3 3" xfId="1507" xr:uid="{7FC3416B-BA4E-459F-A140-DA48682E606D}"/>
    <cellStyle name="Normal 3 3 2" xfId="1508" xr:uid="{247F7E7E-FA0E-400D-9C83-DB2AB952F875}"/>
    <cellStyle name="Normal 3 3 2 2" xfId="1509" xr:uid="{B3918AE5-D595-4AF0-B809-EA1B8777B40F}"/>
    <cellStyle name="Normal 3 3 2 2 2" xfId="5736" xr:uid="{E3898FD0-8DE1-42C5-93DF-8FAC67A4D671}"/>
    <cellStyle name="Normal 3 3 2 2 2 2" xfId="5737" xr:uid="{B3E3091A-7912-48F3-89D0-B7E03CC8A885}"/>
    <cellStyle name="Normal 3 3 2 2 2_Exist Trunk Assets - Ferry" xfId="9181" xr:uid="{3844722F-6CC0-4E1C-A5E8-769C66980AD3}"/>
    <cellStyle name="Normal 3 3 2 2 3" xfId="5738" xr:uid="{494A4657-CB43-4151-BA69-9834F4E96565}"/>
    <cellStyle name="Normal 3 3 2 2 3 2" xfId="5739" xr:uid="{C3E921E3-6871-40B3-B7F5-2E708F76310E}"/>
    <cellStyle name="Normal 3 3 2 2 3_Exist Trunk Assets - Ferry" xfId="9182" xr:uid="{F7BA530A-0EBE-4AD6-A939-B9E073198FA2}"/>
    <cellStyle name="Normal 3 3 2 2 4" xfId="5740" xr:uid="{75ABFB16-C413-4B11-BCB5-780E6FB54537}"/>
    <cellStyle name="Normal 3 3 2 2_Exist Trunk Assets - Ferry" xfId="9180" xr:uid="{742E651D-B040-433C-907D-179A7A68BA94}"/>
    <cellStyle name="Normal 3 3 2 3" xfId="5741" xr:uid="{B88FEB26-DBD7-4042-8FD2-016AFEF31E0B}"/>
    <cellStyle name="Normal 3 3 2 3 2" xfId="5742" xr:uid="{61B11C0C-BBD6-4A30-933D-41C29706B855}"/>
    <cellStyle name="Normal 3 3 2 3_Exist Trunk Assets - Ferry" xfId="9183" xr:uid="{B1B0F079-ED32-42B7-9827-2ED65D3ED238}"/>
    <cellStyle name="Normal 3 3 2 4" xfId="5743" xr:uid="{911ABD0A-3ED8-4F8C-AEA9-0D9CC5F94627}"/>
    <cellStyle name="Normal 3 3 2 4 2" xfId="5744" xr:uid="{271DC428-439E-4FE0-BEEA-1275D39A414B}"/>
    <cellStyle name="Normal 3 3 2 4_Exist Trunk Assets - Ferry" xfId="9184" xr:uid="{FA4EF985-89BF-4F46-909B-3EB774550241}"/>
    <cellStyle name="Normal 3 3 2 5" xfId="5745" xr:uid="{67C03F59-6634-4315-8057-2AEC24D944EB}"/>
    <cellStyle name="Normal 3 3 2_Exist Trunk Assets - Ferry" xfId="9179" xr:uid="{B12E4E26-56B1-4778-BC60-A86C45F933C7}"/>
    <cellStyle name="Normal 3 3 3" xfId="1510" xr:uid="{B5A399BC-78A4-4C07-8EBE-B89E3DC59C01}"/>
    <cellStyle name="Normal 3 3 3 2" xfId="1511" xr:uid="{F9C7F461-E07E-42E3-B0BE-708C6E0623B8}"/>
    <cellStyle name="Normal 3 3 3 2 2" xfId="5746" xr:uid="{BE08E016-7707-43B1-95F9-36C888CAD450}"/>
    <cellStyle name="Normal 3 3 3 2 2 2" xfId="5747" xr:uid="{FD72CD63-EDE6-4833-9357-A4E0FE4A1BA9}"/>
    <cellStyle name="Normal 3 3 3 2 2_Exist Trunk Assets - Ferry" xfId="9187" xr:uid="{AE3CA0BD-676C-4FBB-AA2B-9FF92E4F2E4A}"/>
    <cellStyle name="Normal 3 3 3 2 3" xfId="5748" xr:uid="{CDE3243F-CF78-4A69-873C-5928F9C51E2D}"/>
    <cellStyle name="Normal 3 3 3 2 3 2" xfId="5749" xr:uid="{5000B68F-BF35-4393-9C73-CA517B38EC4D}"/>
    <cellStyle name="Normal 3 3 3 2 3_Exist Trunk Assets - Ferry" xfId="9188" xr:uid="{8C651EBB-D309-4FDB-BB71-46BCCFCEF3DD}"/>
    <cellStyle name="Normal 3 3 3 2 4" xfId="5750" xr:uid="{119C7A2E-80DB-4B6B-B617-3DAEDE18B354}"/>
    <cellStyle name="Normal 3 3 3 2_Exist Trunk Assets - Ferry" xfId="9186" xr:uid="{7F0BD1D2-4EB8-40D7-9B2C-14C071BC6C64}"/>
    <cellStyle name="Normal 3 3 3 3" xfId="5751" xr:uid="{61EDA5D0-5C7E-4286-A3E8-9894EFB644C7}"/>
    <cellStyle name="Normal 3 3 3 3 2" xfId="5752" xr:uid="{D3674E75-9F2B-4FA8-81FD-15E5323004D2}"/>
    <cellStyle name="Normal 3 3 3 3_Exist Trunk Assets - Ferry" xfId="9189" xr:uid="{0E211989-71C2-49F1-9B2B-819F07D00BD2}"/>
    <cellStyle name="Normal 3 3 3 4" xfId="5753" xr:uid="{4EB709DC-E539-4608-92BF-FF2E8D1C92BD}"/>
    <cellStyle name="Normal 3 3 3 4 2" xfId="5754" xr:uid="{B69580FA-45E9-459F-921F-B29486E9169F}"/>
    <cellStyle name="Normal 3 3 3 4_Exist Trunk Assets - Ferry" xfId="9190" xr:uid="{B204C8C7-4917-4A15-A6C1-D857104C59E0}"/>
    <cellStyle name="Normal 3 3 3 5" xfId="5755" xr:uid="{45C7B251-BD38-44CB-AFB9-D32ED2BB32C8}"/>
    <cellStyle name="Normal 3 3 3_Exist Trunk Assets - Ferry" xfId="9185" xr:uid="{BC904E65-A076-403B-848D-78F559EFF3A3}"/>
    <cellStyle name="Normal 3 3 4" xfId="1512" xr:uid="{9D3F4519-A848-4CF8-A467-381E2714654D}"/>
    <cellStyle name="Normal 3 3 4 2" xfId="5756" xr:uid="{875A428B-E038-45B8-91E3-B9FE05E68ACC}"/>
    <cellStyle name="Normal 3 3 4 2 2" xfId="5757" xr:uid="{613036C1-FA59-443A-B423-3877CB1FB659}"/>
    <cellStyle name="Normal 3 3 4 2_Exist Trunk Assets - Ferry" xfId="9192" xr:uid="{B77AF3E6-C90F-4759-B8B7-026A3D0047C2}"/>
    <cellStyle name="Normal 3 3 4 3" xfId="5758" xr:uid="{D812BD9F-0A8E-4EBA-A69B-81DA24A5C14C}"/>
    <cellStyle name="Normal 3 3 4 3 2" xfId="5759" xr:uid="{1AF75C0D-9AAB-4EC2-9626-8B80B07BED8C}"/>
    <cellStyle name="Normal 3 3 4 3_Exist Trunk Assets - Ferry" xfId="9193" xr:uid="{10E6D8E3-0740-4B3E-8037-6ECC411068D9}"/>
    <cellStyle name="Normal 3 3 4 4" xfId="5760" xr:uid="{DBCB8686-CB9D-42DC-A06D-189A99E81E6D}"/>
    <cellStyle name="Normal 3 3 4_Exist Trunk Assets - Ferry" xfId="9191" xr:uid="{60A4E41E-1C66-4DF0-AA98-BCE999164950}"/>
    <cellStyle name="Normal 3 3 5" xfId="2413" xr:uid="{861D87BD-EC7B-44B7-8441-98D91F071183}"/>
    <cellStyle name="Normal 3 3 5 2" xfId="5761" xr:uid="{640478D4-73AC-4B6F-B2C6-0A15315AAF6E}"/>
    <cellStyle name="Normal 3 3 5 3" xfId="5762" xr:uid="{3A6CD6F5-E26F-4B05-8EE6-BD5BD41041B8}"/>
    <cellStyle name="Normal 3 3 5_Exist Trunk Assets - Ferry" xfId="9194" xr:uid="{4D57A52C-8EE7-4621-A0D2-4A8EF78C1E74}"/>
    <cellStyle name="Normal 3 3 6" xfId="5763" xr:uid="{C35460AC-0BFC-4605-821F-0E306C0A55DF}"/>
    <cellStyle name="Normal 3 3 6 2" xfId="5764" xr:uid="{E6C2F7AE-C1B4-408E-A903-7F5AFEA57EF5}"/>
    <cellStyle name="Normal 3 3 6_Exist Trunk Assets - Ferry" xfId="9195" xr:uid="{9104F239-91E9-4D48-AA99-7E0EF93CC19C}"/>
    <cellStyle name="Normal 3 3 7" xfId="5765" xr:uid="{3A404BC7-46A9-4ED5-9CAE-649AC68DBBB7}"/>
    <cellStyle name="Normal 3 3 7 2" xfId="5766" xr:uid="{16377033-D569-46C8-98D0-8809E5959D04}"/>
    <cellStyle name="Normal 3 3 7_Exist Trunk Assets - Ferry" xfId="9196" xr:uid="{7E8ECBB2-A739-4678-8A80-80524E9435C0}"/>
    <cellStyle name="Normal 3 3 8" xfId="5767" xr:uid="{4C7C13DF-FEED-409F-92A0-33B95C696728}"/>
    <cellStyle name="Normal 3 3_Exist Trunk Assets - Ferry" xfId="9178" xr:uid="{84F32668-376E-4045-A3F6-BBC377776FF9}"/>
    <cellStyle name="Normal 3 4" xfId="1513" xr:uid="{4E8C4A05-C405-4718-96F0-7A33AFCBAFA9}"/>
    <cellStyle name="Normal 3 4 2" xfId="1514" xr:uid="{A3C2778F-CC4C-4994-9F4D-85973DE668D8}"/>
    <cellStyle name="Normal 3 4 2 2" xfId="5768" xr:uid="{91316FB2-3491-4C2D-BA5C-8958D70AA24F}"/>
    <cellStyle name="Normal 3 4 2 2 2" xfId="5769" xr:uid="{C6B4C814-C80E-4B9F-B0D2-42B2E93F9711}"/>
    <cellStyle name="Normal 3 4 2 2_Exist Trunk Assets - Ferry" xfId="9199" xr:uid="{B7A368EA-2962-4561-8E38-19F740CE3684}"/>
    <cellStyle name="Normal 3 4 2 3" xfId="5770" xr:uid="{D49B046F-45D3-4B9C-8FFA-57137416D5AE}"/>
    <cellStyle name="Normal 3 4 2 3 2" xfId="5771" xr:uid="{11EC2423-DA64-4745-AB76-19FF2C2DDB4B}"/>
    <cellStyle name="Normal 3 4 2 3_Exist Trunk Assets - Ferry" xfId="9200" xr:uid="{70EB429F-3A05-4671-A1C5-A8AB02DEF18F}"/>
    <cellStyle name="Normal 3 4 2 4" xfId="5772" xr:uid="{4949AD7A-FBB1-4327-8564-C06CD945A00B}"/>
    <cellStyle name="Normal 3 4 2_Exist Trunk Assets - Ferry" xfId="9198" xr:uid="{7B62F555-00D3-4294-BEE2-605F577D9556}"/>
    <cellStyle name="Normal 3 4 3" xfId="2414" xr:uid="{1BBCDAAE-BA72-41C6-9F35-98F61D5149C5}"/>
    <cellStyle name="Normal 3 4 3 2" xfId="5773" xr:uid="{4B46EA48-7A84-4D8F-9E7F-56CD2EED3300}"/>
    <cellStyle name="Normal 3 4 3 3" xfId="5774" xr:uid="{369EA00B-AF2B-4999-B35D-CE41BCE8212E}"/>
    <cellStyle name="Normal 3 4 3_Exist Trunk Assets - Ferry" xfId="9201" xr:uid="{B4A4C0D3-4392-44EC-A136-9FBA7F7A4AE6}"/>
    <cellStyle name="Normal 3 4 4" xfId="5775" xr:uid="{87084CFA-0270-4C4D-8FF6-D65F0775E0B9}"/>
    <cellStyle name="Normal 3 4 4 2" xfId="5776" xr:uid="{A2B452F6-B17D-4612-8000-D8EDF4D42D8F}"/>
    <cellStyle name="Normal 3 4 4_Exist Trunk Assets - Ferry" xfId="9202" xr:uid="{46E3AE22-7555-439C-A4F2-352AE9D69426}"/>
    <cellStyle name="Normal 3 4 5" xfId="5777" xr:uid="{B91A4F3B-D5B9-4DE5-AFD1-920CDA0AD330}"/>
    <cellStyle name="Normal 3 4 5 2" xfId="5778" xr:uid="{F1345AAA-8366-45F7-A396-EF98795FF688}"/>
    <cellStyle name="Normal 3 4 5_Exist Trunk Assets - Ferry" xfId="9203" xr:uid="{537D4044-601C-45CC-B4AA-2FC9AC0F458E}"/>
    <cellStyle name="Normal 3 4 6" xfId="5779" xr:uid="{8C3BF312-DDC7-413F-A253-C61534C5E2D7}"/>
    <cellStyle name="Normal 3 4_Exist Trunk Assets - Ferry" xfId="9197" xr:uid="{1F80E0CD-1DB9-4396-BA3A-0B15472CBEC4}"/>
    <cellStyle name="Normal 3 5" xfId="5780" xr:uid="{883F55A3-BDE9-47DF-AC53-EC4408BF11A9}"/>
    <cellStyle name="Normal 3 6" xfId="5781" xr:uid="{564F8AE6-AB0E-4E46-940D-9D751B8D12EE}"/>
    <cellStyle name="Normal 3 7" xfId="5782" xr:uid="{3393C30A-81FF-417C-8959-B8A0AEA43663}"/>
    <cellStyle name="Normal 3 8" xfId="5783" xr:uid="{092E8109-8C35-41BF-87B6-410E3F355C94}"/>
    <cellStyle name="Normal 3_Exist Trunk Assets - Ferry" xfId="9158" xr:uid="{32D027D2-FCE0-49FF-9FFE-B4B97E6D0CC3}"/>
    <cellStyle name="Normal 30" xfId="1515" xr:uid="{317603D8-D563-4221-B0DB-B6EF64A0ADBA}"/>
    <cellStyle name="Normal 30 2" xfId="1516" xr:uid="{30129C2F-46BB-4937-8144-87D048B49BD2}"/>
    <cellStyle name="Normal 30 2 2" xfId="5784" xr:uid="{926BCD47-18CA-46A0-864E-890286981743}"/>
    <cellStyle name="Normal 30 2 2 2" xfId="5785" xr:uid="{374D038C-0A15-4BE2-BE51-5C0F73BAE9D0}"/>
    <cellStyle name="Normal 30 2 2_Exist Trunk Assets - Ferry" xfId="9206" xr:uid="{034F331F-AE4E-431D-8504-A4CC17D48CAF}"/>
    <cellStyle name="Normal 30 2 3" xfId="5786" xr:uid="{37501708-538F-4E3E-A76A-0A90C74142F9}"/>
    <cellStyle name="Normal 30 2 3 2" xfId="5787" xr:uid="{1B32C012-ABFC-4265-B46F-DB40C40646C7}"/>
    <cellStyle name="Normal 30 2 3_Exist Trunk Assets - Ferry" xfId="9207" xr:uid="{30F7A1B3-A54C-46BC-841D-1204BF0EC46A}"/>
    <cellStyle name="Normal 30 2 4" xfId="5788" xr:uid="{45BF5A49-E9BC-4E30-B2B4-FBBC26991BB3}"/>
    <cellStyle name="Normal 30 2_Exist Trunk Assets - Ferry" xfId="9205" xr:uid="{67C94214-C7A2-47A2-B8CB-1D2816AC4DEE}"/>
    <cellStyle name="Normal 30 3" xfId="2347" xr:uid="{56AD482D-0678-4C09-89C2-4B47A5C1143A}"/>
    <cellStyle name="Normal 30 3 2" xfId="5789" xr:uid="{C94BAC0B-DBB7-45DD-B7AF-DB30A061BAF5}"/>
    <cellStyle name="Normal 30 3 3" xfId="5790" xr:uid="{7673BED4-986F-4597-A09E-EACBED7AEBA7}"/>
    <cellStyle name="Normal 30 3_Exist Trunk Assets - Ferry" xfId="9208" xr:uid="{99EDB6CE-CFBF-45CF-9BDE-0F84541BA8A5}"/>
    <cellStyle name="Normal 30 4" xfId="2558" xr:uid="{5AC7BC00-1CE9-4A02-8232-2F938153EFC9}"/>
    <cellStyle name="Normal 30 4 2" xfId="5791" xr:uid="{23954A67-5E25-453C-825E-8E024C0629B8}"/>
    <cellStyle name="Normal 30 4 2 2" xfId="5792" xr:uid="{3D4ECEFC-1482-4327-AD48-C76D4549B0A8}"/>
    <cellStyle name="Normal 30 4 2_Exist Trunk Assets - Ferry" xfId="9210" xr:uid="{8DF54C4E-E104-4102-B23F-CF6B257D134F}"/>
    <cellStyle name="Normal 30 4 3" xfId="5793" xr:uid="{DD6DF9E5-1A47-4B81-8104-F8D5DFE11E08}"/>
    <cellStyle name="Normal 30 4_Exist Trunk Assets - Ferry" xfId="9209" xr:uid="{F37B507B-B923-4A6D-8BF3-585B8E560267}"/>
    <cellStyle name="Normal 30 5" xfId="5794" xr:uid="{7019AF30-E743-4A79-8822-1C69CC1DA4CC}"/>
    <cellStyle name="Normal 30 5 2" xfId="5795" xr:uid="{5F4369E9-370B-4654-A345-7C3C512D82B2}"/>
    <cellStyle name="Normal 30 5_Exist Trunk Assets - Ferry" xfId="9211" xr:uid="{676C4FE9-3392-4908-AAD6-BAA636923AB6}"/>
    <cellStyle name="Normal 30 6" xfId="5796" xr:uid="{C2D26989-278B-425D-98E2-1B214887DD2A}"/>
    <cellStyle name="Normal 30_Exist Trunk Assets - Ferry" xfId="9204" xr:uid="{DAFA3403-ACBA-4629-882F-420DEDCAD60C}"/>
    <cellStyle name="Normal 31" xfId="1517" xr:uid="{99060C63-E542-4D69-AFC2-FDF0B657B507}"/>
    <cellStyle name="Normal 31 2" xfId="1518" xr:uid="{A5C36502-0FE1-4CAD-9E60-1A8CAEFF6891}"/>
    <cellStyle name="Normal 31 2 2" xfId="5797" xr:uid="{1EC6FBD1-1686-4BC0-91C9-137D24D195E5}"/>
    <cellStyle name="Normal 31 2 2 2" xfId="5798" xr:uid="{FD767893-478F-467A-9408-0B236B9B6C7A}"/>
    <cellStyle name="Normal 31 2 2_Exist Trunk Assets - Ferry" xfId="9214" xr:uid="{13C52F4B-C689-425B-84B6-F5FF94AB3DD2}"/>
    <cellStyle name="Normal 31 2 3" xfId="5799" xr:uid="{7ED902BA-C56E-4C9F-B057-804E7A80F22B}"/>
    <cellStyle name="Normal 31 2 3 2" xfId="5800" xr:uid="{252DF442-6415-4C57-8A27-05D9C97D72EC}"/>
    <cellStyle name="Normal 31 2 3_Exist Trunk Assets - Ferry" xfId="9215" xr:uid="{9A196997-4797-402E-9681-AF49081CE31E}"/>
    <cellStyle name="Normal 31 2 4" xfId="5801" xr:uid="{44E7FC72-B032-46F2-81E5-4A405FD16C09}"/>
    <cellStyle name="Normal 31 2_Exist Trunk Assets - Ferry" xfId="9213" xr:uid="{62B0C856-0884-48AA-A894-5171DFF8D584}"/>
    <cellStyle name="Normal 31 3" xfId="2434" xr:uid="{D3F4F4D6-C3C6-4EBB-923D-F65F0D2E1927}"/>
    <cellStyle name="Normal 31 3 2" xfId="5802" xr:uid="{E480F883-067B-4465-ADE0-419194BF16E7}"/>
    <cellStyle name="Normal 31 3 3" xfId="5803" xr:uid="{37150E27-6D19-4659-A3B3-91FC732FCFB8}"/>
    <cellStyle name="Normal 31 3_Exist Trunk Assets - Ferry" xfId="9216" xr:uid="{ABE2B82C-2CBF-4DD6-96DF-B764ACAC95BF}"/>
    <cellStyle name="Normal 31 4" xfId="5804" xr:uid="{A085CF23-ED00-40CC-82D4-5CDF63B96C49}"/>
    <cellStyle name="Normal 31 4 2" xfId="5805" xr:uid="{7EE7F8D2-3D4D-4729-A38C-0EA4B1323D66}"/>
    <cellStyle name="Normal 31 4_Exist Trunk Assets - Ferry" xfId="9217" xr:uid="{6B1EBC3C-BA60-47DD-B663-C5514F06A63B}"/>
    <cellStyle name="Normal 31 5" xfId="5806" xr:uid="{891BD09F-2498-4F0A-8AD8-578072C08D45}"/>
    <cellStyle name="Normal 31 5 2" xfId="5807" xr:uid="{D67E0536-6E14-4D5F-B8D9-71B64DB870EA}"/>
    <cellStyle name="Normal 31 5_Exist Trunk Assets - Ferry" xfId="9218" xr:uid="{FF39508B-E7DA-464C-AB31-09C1C842C26E}"/>
    <cellStyle name="Normal 31 6" xfId="5808" xr:uid="{F6CA10E7-42FA-4F69-9AC7-EBA1E92D6814}"/>
    <cellStyle name="Normal 31_Exist Trunk Assets - Ferry" xfId="9212" xr:uid="{00FEF750-08AD-42CC-842E-D393C66A7E47}"/>
    <cellStyle name="Normal 32" xfId="1519" xr:uid="{1AB1C782-AF0A-4F35-97F9-B006360B5CB5}"/>
    <cellStyle name="Normal 32 2" xfId="1520" xr:uid="{F52B1E8E-CC69-4C4F-8CC6-AAAB94595F92}"/>
    <cellStyle name="Normal 32 2 2" xfId="5809" xr:uid="{3F279A1D-7EE5-4D5D-8879-1F275E37FA41}"/>
    <cellStyle name="Normal 32 2 2 2" xfId="5810" xr:uid="{30A77F92-E05D-4509-A2BD-8B7B586D0164}"/>
    <cellStyle name="Normal 32 2 2_Exist Trunk Assets - Ferry" xfId="9221" xr:uid="{2DD160A0-3228-4B0D-B537-8E10D5478E4E}"/>
    <cellStyle name="Normal 32 2 3" xfId="5811" xr:uid="{D59AB7E6-216D-4F9E-9C6C-3B833D20EBC2}"/>
    <cellStyle name="Normal 32 2 3 2" xfId="5812" xr:uid="{A5636869-650C-4165-AE77-18E668A74840}"/>
    <cellStyle name="Normal 32 2 3_Exist Trunk Assets - Ferry" xfId="9222" xr:uid="{C9D8946D-3CD7-4FE8-A761-61CA347BCD35}"/>
    <cellStyle name="Normal 32 2 4" xfId="5813" xr:uid="{DB6CC563-2A60-44BF-9841-B636030B8CE8}"/>
    <cellStyle name="Normal 32 2_Exist Trunk Assets - Ferry" xfId="9220" xr:uid="{A14F0CDE-D28A-4527-A67A-9B50F25DE023}"/>
    <cellStyle name="Normal 32 3" xfId="5814" xr:uid="{F6DF1759-AA80-462A-99DB-0F0462AAD2AC}"/>
    <cellStyle name="Normal 32 3 2" xfId="5815" xr:uid="{D6A568C6-77B7-4910-AF28-235033EAE2BF}"/>
    <cellStyle name="Normal 32 3_Exist Trunk Assets - Ferry" xfId="9223" xr:uid="{9852BA0C-56D5-4CF9-AC28-8E71E76D8F24}"/>
    <cellStyle name="Normal 32 4" xfId="5816" xr:uid="{B57DA2E2-AF20-4FA0-B1ED-98F3D224FFAC}"/>
    <cellStyle name="Normal 32 4 2" xfId="5817" xr:uid="{4998CBBC-E9EA-4ABE-B4ED-DB16A48224FC}"/>
    <cellStyle name="Normal 32 4_Exist Trunk Assets - Ferry" xfId="9224" xr:uid="{2D6E62CA-DEC0-4771-B6BA-B77505DEADD5}"/>
    <cellStyle name="Normal 32 5" xfId="5818" xr:uid="{DDCC5113-09A4-4068-9739-2F81112C044F}"/>
    <cellStyle name="Normal 32_Exist Trunk Assets - Ferry" xfId="9219" xr:uid="{0170AE1C-F7B6-4D87-AB7F-330531ED18C9}"/>
    <cellStyle name="Normal 33" xfId="1521" xr:uid="{BF2932BB-6168-4BC0-ACE0-E947C0CBE952}"/>
    <cellStyle name="Normal 33 2" xfId="1522" xr:uid="{88708204-4730-4035-9683-A865DCC5F05A}"/>
    <cellStyle name="Normal 33 2 2" xfId="5819" xr:uid="{6780D183-55BB-46F7-90F0-D15764BC05F4}"/>
    <cellStyle name="Normal 33 2 2 2" xfId="5820" xr:uid="{FB9125F5-7346-4881-BBE4-0DC895523A61}"/>
    <cellStyle name="Normal 33 2 2_Exist Trunk Assets - Ferry" xfId="9227" xr:uid="{8553170C-4666-4961-AFC1-A58D75CB0083}"/>
    <cellStyle name="Normal 33 2 3" xfId="5821" xr:uid="{68065DB5-1048-4AD4-87AC-43163FED1281}"/>
    <cellStyle name="Normal 33 2 3 2" xfId="5822" xr:uid="{0B3453E7-89BE-4F22-9863-DDC65DA91DDB}"/>
    <cellStyle name="Normal 33 2 3_Exist Trunk Assets - Ferry" xfId="9228" xr:uid="{720CABE8-D81F-4AE5-A560-8BE3CAD6D3B3}"/>
    <cellStyle name="Normal 33 2 4" xfId="5823" xr:uid="{41266945-BEFA-4FA0-B4A7-4209AD0DF342}"/>
    <cellStyle name="Normal 33 2_Exist Trunk Assets - Ferry" xfId="9226" xr:uid="{A8435B17-11BD-4E2D-AE46-72FDC55F85E6}"/>
    <cellStyle name="Normal 33 3" xfId="5824" xr:uid="{BA1AB01C-B726-4470-8FC6-3DBA0C00115E}"/>
    <cellStyle name="Normal 33 3 2" xfId="5825" xr:uid="{6BD86EE3-88D4-4758-8EBA-C513BF88D56E}"/>
    <cellStyle name="Normal 33 3_Exist Trunk Assets - Ferry" xfId="9229" xr:uid="{5B01ADE6-46B5-49CF-898D-7EBF6812A090}"/>
    <cellStyle name="Normal 33 4" xfId="5826" xr:uid="{4CCF5078-7836-4207-900E-F4EAF1E33F04}"/>
    <cellStyle name="Normal 33 4 2" xfId="5827" xr:uid="{874EDCFC-A87C-49F3-AD04-53016BDCDEE7}"/>
    <cellStyle name="Normal 33 4_Exist Trunk Assets - Ferry" xfId="9230" xr:uid="{52F26D1A-0512-4D2D-BED1-98C87DC7D5FD}"/>
    <cellStyle name="Normal 33 5" xfId="5828" xr:uid="{77AB7052-2F01-4812-AB09-B8B2C8B4A0F8}"/>
    <cellStyle name="Normal 33_Exist Trunk Assets - Ferry" xfId="9225" xr:uid="{EF27C74C-C84B-4244-8D71-3EB7031D4D3E}"/>
    <cellStyle name="Normal 34" xfId="1523" xr:uid="{C9AF6290-1522-46F0-B1E7-B7DF5CB6F2A9}"/>
    <cellStyle name="Normal 34 2" xfId="1524" xr:uid="{BA6A1CE5-DB3B-4511-9F3A-F3D5BC114D65}"/>
    <cellStyle name="Normal 34 2 2" xfId="5829" xr:uid="{47C46016-E7FD-4317-8A0B-596FA049BFDE}"/>
    <cellStyle name="Normal 34 2 2 2" xfId="5830" xr:uid="{64648EFC-4426-45FB-9D28-5108D56A1B8C}"/>
    <cellStyle name="Normal 34 2 2_Exist Trunk Assets - Ferry" xfId="9233" xr:uid="{684E2403-3D93-4FA0-B4B8-F1C9D86C0232}"/>
    <cellStyle name="Normal 34 2 3" xfId="5831" xr:uid="{AE7556D8-54BB-4C63-B254-327D332751EA}"/>
    <cellStyle name="Normal 34 2 3 2" xfId="5832" xr:uid="{5E205B43-F823-4693-872E-57755FE2926A}"/>
    <cellStyle name="Normal 34 2 3_Exist Trunk Assets - Ferry" xfId="9234" xr:uid="{8626F344-9F81-4835-AEB7-5DAF4DC43424}"/>
    <cellStyle name="Normal 34 2 4" xfId="5833" xr:uid="{22DB6E7C-D687-40EB-BBB6-5EEEFDA05D1F}"/>
    <cellStyle name="Normal 34 2_Exist Trunk Assets - Ferry" xfId="9232" xr:uid="{860D623C-6874-4D24-BF8F-FAC61EA17F84}"/>
    <cellStyle name="Normal 34 3" xfId="5834" xr:uid="{83F23F7E-C708-4540-A44B-ACB07F7B9CD9}"/>
    <cellStyle name="Normal 34 3 2" xfId="5835" xr:uid="{6554D8F4-6087-4B1B-8168-308CE2A6B7BE}"/>
    <cellStyle name="Normal 34 3_Exist Trunk Assets - Ferry" xfId="9235" xr:uid="{2A86FBB0-037A-43E7-A108-B33E7516772D}"/>
    <cellStyle name="Normal 34 4" xfId="5836" xr:uid="{9D2AC6AD-70F3-44FE-8668-7671E78F6CEC}"/>
    <cellStyle name="Normal 34 4 2" xfId="5837" xr:uid="{6D4DE810-222C-45F9-B50D-00AED4D81CDE}"/>
    <cellStyle name="Normal 34 4_Exist Trunk Assets - Ferry" xfId="9236" xr:uid="{BF332F18-6DED-44C5-BEE0-A66881716B54}"/>
    <cellStyle name="Normal 34 5" xfId="5838" xr:uid="{B0AEA685-7F19-4D8D-8B70-43D6ACA70CEC}"/>
    <cellStyle name="Normal 34_Exist Trunk Assets - Ferry" xfId="9231" xr:uid="{57D54135-3B8D-493A-94F3-D17520F58F5A}"/>
    <cellStyle name="Normal 35" xfId="1525" xr:uid="{58653B2C-5F1B-4CAE-A6B8-4A663126F553}"/>
    <cellStyle name="Normal 35 2" xfId="1526" xr:uid="{1E93A2E0-BB46-46DA-AF8F-5B52B9C3C229}"/>
    <cellStyle name="Normal 35 2 2" xfId="5839" xr:uid="{D1E0AED0-782D-4BAB-984A-A926C3BDDADF}"/>
    <cellStyle name="Normal 35 2 2 2" xfId="5840" xr:uid="{C554A277-3FF5-4367-ABA9-F54AA9ACFCCE}"/>
    <cellStyle name="Normal 35 2 2_Exist Trunk Assets - Ferry" xfId="9239" xr:uid="{F644575F-2826-4809-8733-660B118DA911}"/>
    <cellStyle name="Normal 35 2 3" xfId="5841" xr:uid="{2D59FC21-0EC1-4E2D-867F-AB8E3608B023}"/>
    <cellStyle name="Normal 35 2 3 2" xfId="5842" xr:uid="{09E4A659-6043-411D-9745-A44DB230C9F9}"/>
    <cellStyle name="Normal 35 2 3_Exist Trunk Assets - Ferry" xfId="9240" xr:uid="{44452AD5-A6DF-4C83-968E-485E93A948EE}"/>
    <cellStyle name="Normal 35 2 4" xfId="5843" xr:uid="{433F0B50-4DBA-4311-B087-50B5DA8999C1}"/>
    <cellStyle name="Normal 35 2_Exist Trunk Assets - Ferry" xfId="9238" xr:uid="{6B8C10E4-3703-4E5A-A203-9145967B9D30}"/>
    <cellStyle name="Normal 35 3" xfId="5844" xr:uid="{ED361FBD-9554-487A-B646-7294E5F08922}"/>
    <cellStyle name="Normal 35 3 2" xfId="5845" xr:uid="{80EDBB14-B2C9-4DD0-B69B-57CD993F205A}"/>
    <cellStyle name="Normal 35 3_Exist Trunk Assets - Ferry" xfId="9241" xr:uid="{6A7D1B07-7E33-40F8-92DD-D66B20837AAD}"/>
    <cellStyle name="Normal 35 4" xfId="5846" xr:uid="{5D194CDB-C23A-466D-A3A8-8B4E5706FCEF}"/>
    <cellStyle name="Normal 35 4 2" xfId="5847" xr:uid="{BE4442AF-E8F1-4DBF-B77D-358352850B95}"/>
    <cellStyle name="Normal 35 4_Exist Trunk Assets - Ferry" xfId="9242" xr:uid="{DFF5BE1E-5E1C-41AE-9D7B-D41745ED2D03}"/>
    <cellStyle name="Normal 35 5" xfId="5848" xr:uid="{27E79AA5-875F-4D37-8A9A-F5B303F68C57}"/>
    <cellStyle name="Normal 35_Exist Trunk Assets - Ferry" xfId="9237" xr:uid="{D679DBF1-2BD7-4E9B-9A1F-79E2F2AD757B}"/>
    <cellStyle name="Normal 36" xfId="1527" xr:uid="{47254A2A-5511-4D7B-AB62-721693FC2B37}"/>
    <cellStyle name="Normal 36 2" xfId="1528" xr:uid="{DB13C802-396D-479D-B7DF-CD6CE2202252}"/>
    <cellStyle name="Normal 36 2 2" xfId="5849" xr:uid="{61100329-FFC4-4288-800D-366F163CF17E}"/>
    <cellStyle name="Normal 36 2 2 2" xfId="5850" xr:uid="{B9206DB9-5B57-45DE-B00C-B895D650AE21}"/>
    <cellStyle name="Normal 36 2 2_Exist Trunk Assets - Ferry" xfId="9245" xr:uid="{BCA6C253-3EEF-4961-936D-050B7BD902F6}"/>
    <cellStyle name="Normal 36 2 3" xfId="5851" xr:uid="{292DDBDD-0E21-4CA5-B3D9-2ED911D8EFF6}"/>
    <cellStyle name="Normal 36 2 3 2" xfId="5852" xr:uid="{7846DDB0-7068-457E-A848-BB6FA83A41BF}"/>
    <cellStyle name="Normal 36 2 3_Exist Trunk Assets - Ferry" xfId="9246" xr:uid="{1A8C036B-FD4C-4CDB-B4C7-84D29B9C03F9}"/>
    <cellStyle name="Normal 36 2 4" xfId="5853" xr:uid="{FF511F14-14B7-4BCB-B765-F1A0B15BC86A}"/>
    <cellStyle name="Normal 36 2_Exist Trunk Assets - Ferry" xfId="9244" xr:uid="{3C2F4E17-95A6-4522-B264-C21D16596D30}"/>
    <cellStyle name="Normal 36 3" xfId="5854" xr:uid="{5FB99D16-D913-4A34-8D64-6BB2A6E112DA}"/>
    <cellStyle name="Normal 36 3 2" xfId="5855" xr:uid="{A993F792-F997-41EC-AAD3-A74EF1587D5A}"/>
    <cellStyle name="Normal 36 3_Exist Trunk Assets - Ferry" xfId="9247" xr:uid="{23B7A35E-101B-4F29-8A3E-6622F9B8E287}"/>
    <cellStyle name="Normal 36 4" xfId="5856" xr:uid="{6A55D4C8-4999-485C-941C-84250EE04528}"/>
    <cellStyle name="Normal 36 4 2" xfId="5857" xr:uid="{2BF9999A-4ACA-480B-BEE0-A620C790AF37}"/>
    <cellStyle name="Normal 36 4_Exist Trunk Assets - Ferry" xfId="9248" xr:uid="{E62CFC3A-20F6-414F-B381-62BA5079932A}"/>
    <cellStyle name="Normal 36 5" xfId="5858" xr:uid="{901F1261-1B87-420E-A52F-DB57CF47720E}"/>
    <cellStyle name="Normal 36_Exist Trunk Assets - Ferry" xfId="9243" xr:uid="{40055383-D5EA-4B6E-86AB-EB03E1EF5209}"/>
    <cellStyle name="Normal 37" xfId="1529" xr:uid="{09D71FF4-0518-46EA-BEF2-13D6CFB3EC66}"/>
    <cellStyle name="Normal 37 2" xfId="2415" xr:uid="{EF2A433B-4B12-45E1-95D6-C5D8B4D26B02}"/>
    <cellStyle name="Normal 37 2 2" xfId="5859" xr:uid="{25F13CBD-4F54-4511-951E-CC88516DED96}"/>
    <cellStyle name="Normal 37 2 2 2" xfId="5860" xr:uid="{20194122-AC28-40F8-B05D-EF10956C52E8}"/>
    <cellStyle name="Normal 37 2 2_Exist Trunk Assets - Ferry" xfId="9251" xr:uid="{1F0B762F-AF87-4B8E-8B26-7A8D8C6859A4}"/>
    <cellStyle name="Normal 37 2 3" xfId="5861" xr:uid="{D46BA20B-1148-44F0-8485-36FCF4B0BDE8}"/>
    <cellStyle name="Normal 37 2 3 2" xfId="5862" xr:uid="{9C2B6CD1-88E8-4F13-93E2-9B650540AA61}"/>
    <cellStyle name="Normal 37 2 3_Exist Trunk Assets - Ferry" xfId="9252" xr:uid="{E9BB83B6-16F9-4688-A407-51204C8DA049}"/>
    <cellStyle name="Normal 37 2 4" xfId="5863" xr:uid="{4B339497-FE00-41BE-B115-0E212136CFBC}"/>
    <cellStyle name="Normal 37 2_Exist Trunk Assets - Ferry" xfId="9250" xr:uid="{F72CA086-D941-46CF-BA08-FB5E161CCB29}"/>
    <cellStyle name="Normal 37 3" xfId="2364" xr:uid="{BCFDBDD5-1CF7-4AF9-8F2D-85DC2DF7C5E4}"/>
    <cellStyle name="Normal 37 3 2" xfId="5864" xr:uid="{37D6E714-A9EF-447C-9AFD-7E6BDAAFE4B6}"/>
    <cellStyle name="Normal 37 3 3" xfId="5865" xr:uid="{A21B2A64-60EC-4774-8884-E11D893F23EE}"/>
    <cellStyle name="Normal 37 3_Exist Trunk Assets - Ferry" xfId="9253" xr:uid="{DCF73A0A-4901-4944-A395-3C8C47AB4046}"/>
    <cellStyle name="Normal 37 4" xfId="5866" xr:uid="{8240DF65-ADE8-4D37-8C23-9669550632F0}"/>
    <cellStyle name="Normal 37 4 2" xfId="5867" xr:uid="{6639ED76-4887-4540-BDF8-C482A6A63616}"/>
    <cellStyle name="Normal 37 4_Exist Trunk Assets - Ferry" xfId="9254" xr:uid="{CF80F4F5-01D9-41A5-934C-A3B41DF43760}"/>
    <cellStyle name="Normal 37 5" xfId="5868" xr:uid="{DCFD4D89-C89E-42A3-B195-BDBDF3B6158E}"/>
    <cellStyle name="Normal 37 5 2" xfId="5869" xr:uid="{FA168B90-BBF4-4230-AD0A-26672E9F064B}"/>
    <cellStyle name="Normal 37 5_Exist Trunk Assets - Ferry" xfId="9255" xr:uid="{BA552350-7AB4-4B41-A477-93036D593E5D}"/>
    <cellStyle name="Normal 37 6" xfId="5870" xr:uid="{C6A93ED5-CABB-4177-A4F8-B25FC998481D}"/>
    <cellStyle name="Normal 37_Exist Trunk Assets - Ferry" xfId="9249" xr:uid="{1D963F24-952E-4BC1-BADA-B4D50351FEF2}"/>
    <cellStyle name="Normal 38" xfId="21" xr:uid="{5375AE7D-66AE-4F78-ACC1-50E09AD44E1D}"/>
    <cellStyle name="Normal 38 2" xfId="5871" xr:uid="{0CAAF3A8-BF7F-4B0E-8933-0FB2806ED8EB}"/>
    <cellStyle name="Normal 38 3" xfId="5872" xr:uid="{F4F72158-C3D6-4ABE-8051-2B866217FCF6}"/>
    <cellStyle name="Normal 38_Exist Trunk Assets - Ferry" xfId="9256" xr:uid="{1B87E777-1984-4DC8-A4C0-AE34F7C87EAD}"/>
    <cellStyle name="Normal 39" xfId="22" xr:uid="{F0ECF572-9401-424A-BC80-C57785509988}"/>
    <cellStyle name="Normal 39 2" xfId="5873" xr:uid="{00E0C8E2-2B56-4435-9BCC-35528B6D2B90}"/>
    <cellStyle name="Normal 39 3" xfId="5874" xr:uid="{1FE6984E-E517-4870-9657-6538CCBFBCEF}"/>
    <cellStyle name="Normal 39_Exist Trunk Assets - Ferry" xfId="9257" xr:uid="{D4894F18-4C58-4335-8C9F-AB7FB65E509F}"/>
    <cellStyle name="Normal 4" xfId="10" xr:uid="{06C96653-C2D2-413E-A692-CB823F471F20}"/>
    <cellStyle name="Normal 4 10" xfId="5875" xr:uid="{7210BE18-F75C-4B00-A756-D6F82634A448}"/>
    <cellStyle name="Normal 4 11" xfId="5876" xr:uid="{39462C66-8456-4AF6-9CAE-067BC6C3AA6B}"/>
    <cellStyle name="Normal 4 2" xfId="1530" xr:uid="{37D31B22-0341-48BC-9FEE-EAD99317B0F1}"/>
    <cellStyle name="Normal 4 2 2" xfId="1531" xr:uid="{06947C46-04A0-4A62-AAB9-9499AEBC8F92}"/>
    <cellStyle name="Normal 4 2 2 2" xfId="1532" xr:uid="{75F9FBA5-F80A-4A01-A707-AE5A9FBFB5C0}"/>
    <cellStyle name="Normal 4 2 2 2 2" xfId="5877" xr:uid="{2A73C4FF-3AC9-4052-A3C1-B752E116A6F8}"/>
    <cellStyle name="Normal 4 2 2 2 2 2" xfId="5878" xr:uid="{AD6DD232-AE2F-42A6-98F8-D28E3D3EBAAC}"/>
    <cellStyle name="Normal 4 2 2 2 2_Exist Trunk Assets - Ferry" xfId="9262" xr:uid="{93E9D2F5-BBB9-4424-9937-11F6293C8737}"/>
    <cellStyle name="Normal 4 2 2 2 3" xfId="5879" xr:uid="{59854709-AE39-4D9D-8DF3-E83F89DB43E5}"/>
    <cellStyle name="Normal 4 2 2 2 3 2" xfId="5880" xr:uid="{13CD7F43-039C-4A6F-883C-A7A3ECA13531}"/>
    <cellStyle name="Normal 4 2 2 2 3_Exist Trunk Assets - Ferry" xfId="9263" xr:uid="{7E693B35-48E4-446B-93E5-40533F9AE800}"/>
    <cellStyle name="Normal 4 2 2 2 4" xfId="5881" xr:uid="{B77DB69D-F199-4B4E-8878-A0A31EACCD28}"/>
    <cellStyle name="Normal 4 2 2 2_Exist Trunk Assets - Ferry" xfId="9261" xr:uid="{B10496A7-51FC-4AFB-9587-28B2675BE160}"/>
    <cellStyle name="Normal 4 2 2 3" xfId="5882" xr:uid="{C22336DD-9B7B-4DF5-87CD-22C382034DC2}"/>
    <cellStyle name="Normal 4 2 2 3 2" xfId="5883" xr:uid="{064F318F-34EA-4CF5-A4BF-ED1A7C5EA2B8}"/>
    <cellStyle name="Normal 4 2 2 3_Exist Trunk Assets - Ferry" xfId="9264" xr:uid="{C428C1B1-FE2C-48A6-8287-F1331183ABCB}"/>
    <cellStyle name="Normal 4 2 2 4" xfId="5884" xr:uid="{2BA721FD-3B3A-448D-B45B-5AC722495BF2}"/>
    <cellStyle name="Normal 4 2 2 4 2" xfId="5885" xr:uid="{DCA2325A-4F75-46E0-A54F-5B1797D20C4D}"/>
    <cellStyle name="Normal 4 2 2 4_Exist Trunk Assets - Ferry" xfId="9265" xr:uid="{F64BEB40-8C87-4074-AE88-D91311EF228E}"/>
    <cellStyle name="Normal 4 2 2 5" xfId="5886" xr:uid="{0F1CFBCD-0B28-4F4B-A9ED-9CE917B636C7}"/>
    <cellStyle name="Normal 4 2 2_Exist Trunk Assets - Ferry" xfId="9260" xr:uid="{0D958ACD-0B19-4B86-A5C2-7DA05887D599}"/>
    <cellStyle name="Normal 4 2 3" xfId="1533" xr:uid="{C779F3AB-35AD-40B2-B36F-68DF549572F9}"/>
    <cellStyle name="Normal 4 2 3 2" xfId="1534" xr:uid="{A9AD01ED-38E3-45FE-A608-B627D478A400}"/>
    <cellStyle name="Normal 4 2 3 2 2" xfId="5887" xr:uid="{22C0F16C-4CD3-4DC1-AB7A-00CDD082D208}"/>
    <cellStyle name="Normal 4 2 3 2 2 2" xfId="5888" xr:uid="{4A78BC1D-E41F-4619-A348-32B20D4E422B}"/>
    <cellStyle name="Normal 4 2 3 2 2_Exist Trunk Assets - Ferry" xfId="9268" xr:uid="{41A5B1F9-DF0A-4DBC-8D04-5251DADB1550}"/>
    <cellStyle name="Normal 4 2 3 2 3" xfId="5889" xr:uid="{5ED77FA1-F18C-4F9C-92D9-0E4626CB7D6A}"/>
    <cellStyle name="Normal 4 2 3 2 3 2" xfId="5890" xr:uid="{EDC6C8EC-9486-43CF-AA1B-0366AF8A49AC}"/>
    <cellStyle name="Normal 4 2 3 2 3_Exist Trunk Assets - Ferry" xfId="9269" xr:uid="{35CE1739-D97A-48CF-B93D-BFE529ED0027}"/>
    <cellStyle name="Normal 4 2 3 2 4" xfId="5891" xr:uid="{09CC80CF-6E65-46AA-9C55-91AE070FE80C}"/>
    <cellStyle name="Normal 4 2 3 2_Exist Trunk Assets - Ferry" xfId="9267" xr:uid="{9A009120-3C2E-44BE-98A5-5421FD6E6898}"/>
    <cellStyle name="Normal 4 2 3 3" xfId="5892" xr:uid="{7506B054-EB7E-4179-AABE-407095DE8172}"/>
    <cellStyle name="Normal 4 2 3 3 2" xfId="5893" xr:uid="{56F7D087-19CB-408C-A20A-F48445D9E604}"/>
    <cellStyle name="Normal 4 2 3 3_Exist Trunk Assets - Ferry" xfId="9270" xr:uid="{467808CD-BC40-4F81-9818-8573A8A64946}"/>
    <cellStyle name="Normal 4 2 3 4" xfId="5894" xr:uid="{5AE40CD5-DFF0-4BEE-BB5B-CCDA6F97BAC3}"/>
    <cellStyle name="Normal 4 2 3 4 2" xfId="5895" xr:uid="{C7EA104F-15C1-4D6E-9FC5-99A38544CF71}"/>
    <cellStyle name="Normal 4 2 3 4_Exist Trunk Assets - Ferry" xfId="9271" xr:uid="{86C157EB-22F7-4F28-AA66-DD38B5EF431A}"/>
    <cellStyle name="Normal 4 2 3 5" xfId="5896" xr:uid="{C80267F7-5975-4DA4-A7AF-BF4CC2BE383F}"/>
    <cellStyle name="Normal 4 2 3_Exist Trunk Assets - Ferry" xfId="9266" xr:uid="{167EBE2C-21AE-450F-8A12-A77817AB7ABB}"/>
    <cellStyle name="Normal 4 2 4" xfId="1535" xr:uid="{FA57AA2F-6A55-4005-A571-A4DED754CA87}"/>
    <cellStyle name="Normal 4 2 4 2" xfId="5897" xr:uid="{C35A9871-8B53-41D6-893D-C0792BC15448}"/>
    <cellStyle name="Normal 4 2 4 2 2" xfId="5898" xr:uid="{4843976E-9491-47DD-A2ED-6474EBA7A20F}"/>
    <cellStyle name="Normal 4 2 4 2_Exist Trunk Assets - Ferry" xfId="9273" xr:uid="{2483EB08-E193-45CF-8EF0-AA01D4309E37}"/>
    <cellStyle name="Normal 4 2 4 3" xfId="5899" xr:uid="{72E3A8C9-6357-4BA0-8617-E308B79809EA}"/>
    <cellStyle name="Normal 4 2 4 3 2" xfId="5900" xr:uid="{B2FB7651-4999-484B-A66E-391CB297E05C}"/>
    <cellStyle name="Normal 4 2 4 3_Exist Trunk Assets - Ferry" xfId="9274" xr:uid="{F08F96E5-79A3-4A65-8F44-919D9E311829}"/>
    <cellStyle name="Normal 4 2 4 4" xfId="5901" xr:uid="{26F8C0DD-6BD4-445B-B8F8-8DC0755E47B4}"/>
    <cellStyle name="Normal 4 2 4_Exist Trunk Assets - Ferry" xfId="9272" xr:uid="{FE7B794E-FDCF-4703-B2B5-9394BF9F8E3F}"/>
    <cellStyle name="Normal 4 2 5" xfId="2165" xr:uid="{40F93B08-BC7E-489A-9591-7E7228D3161E}"/>
    <cellStyle name="Normal 4 2 5 2" xfId="5902" xr:uid="{5B720356-F2D4-465B-93C4-B736EAEBACBE}"/>
    <cellStyle name="Normal 4 2 5 3" xfId="5903" xr:uid="{93B81BC0-1B39-46B9-9B6A-618EB3B905B3}"/>
    <cellStyle name="Normal 4 2 5_Exist Trunk Assets - Ferry" xfId="9275" xr:uid="{ADE846A6-3667-4728-870A-9720F5BE2C08}"/>
    <cellStyle name="Normal 4 2 6" xfId="2559" xr:uid="{D75EA198-54C4-4EA8-AE37-19206CA1C08C}"/>
    <cellStyle name="Normal 4 2 6 2" xfId="5904" xr:uid="{B1BE5E42-9543-4202-A479-27B7F879CD8F}"/>
    <cellStyle name="Normal 4 2 6 2 2" xfId="5905" xr:uid="{46DD0155-4266-48D9-9C47-50D51DF92C34}"/>
    <cellStyle name="Normal 4 2 6 2_Exist Trunk Assets - Ferry" xfId="9277" xr:uid="{D0549D40-CCEA-4200-AEBA-411128C50FD2}"/>
    <cellStyle name="Normal 4 2 6 3" xfId="5906" xr:uid="{C2929A1F-0F36-4C1B-9A44-791FACE94E19}"/>
    <cellStyle name="Normal 4 2 6_Exist Trunk Assets - Ferry" xfId="9276" xr:uid="{9941DF44-A474-4E51-A108-DC338F6480EC}"/>
    <cellStyle name="Normal 4 2 7" xfId="5907" xr:uid="{1B7B3A6E-8B01-4870-A0D0-F6513E4186A2}"/>
    <cellStyle name="Normal 4 2 7 2" xfId="5908" xr:uid="{87671B77-392B-4F2F-83AD-8DF411BCA320}"/>
    <cellStyle name="Normal 4 2 7_Exist Trunk Assets - Ferry" xfId="9278" xr:uid="{A3A3E4AF-9C52-4979-A187-48F50DE7D94B}"/>
    <cellStyle name="Normal 4 2 8" xfId="5909" xr:uid="{C99AAFDC-BC61-4058-B370-E9BC5F282A2E}"/>
    <cellStyle name="Normal 4 2_Exist Trunk Assets - Ferry" xfId="9259" xr:uid="{EAC26716-A83B-4F3B-B6BD-8DD62C93832B}"/>
    <cellStyle name="Normal 4 3" xfId="1536" xr:uid="{92BDAC5B-D3CB-4865-8012-5484E099DBA5}"/>
    <cellStyle name="Normal 4 3 2" xfId="1537" xr:uid="{D7BAFF64-4B56-411C-B0C6-CBA0812DC42E}"/>
    <cellStyle name="Normal 4 3 2 2" xfId="5910" xr:uid="{662A1EE2-95FB-4A00-98A7-09C782941100}"/>
    <cellStyle name="Normal 4 3 2 2 2" xfId="5911" xr:uid="{98D19516-C912-430E-87F4-4BB59421C5C6}"/>
    <cellStyle name="Normal 4 3 2 2_Exist Trunk Assets - Ferry" xfId="9281" xr:uid="{EB567B0B-4B7A-4DC7-8A99-2906FE15965A}"/>
    <cellStyle name="Normal 4 3 2 3" xfId="5912" xr:uid="{DAC056CC-308D-4A39-9955-C77E03037699}"/>
    <cellStyle name="Normal 4 3 2 3 2" xfId="5913" xr:uid="{D424E753-37A1-432D-9C5D-FAB0B8605026}"/>
    <cellStyle name="Normal 4 3 2 3_Exist Trunk Assets - Ferry" xfId="9282" xr:uid="{F3D2B27F-AD08-4C15-BD61-C761A98A2F33}"/>
    <cellStyle name="Normal 4 3 2 4" xfId="5914" xr:uid="{0B9FB255-867D-43CC-A460-267350A83927}"/>
    <cellStyle name="Normal 4 3 2_Exist Trunk Assets - Ferry" xfId="9280" xr:uid="{540A14D3-20E6-4A54-AA30-4EDBC307BF35}"/>
    <cellStyle name="Normal 4 3 3" xfId="5915" xr:uid="{40B301D4-2395-4E7A-8AFB-3F8CE93D6786}"/>
    <cellStyle name="Normal 4 3 3 2" xfId="5916" xr:uid="{6A4291B2-CD61-4E39-A5CB-B8C972FE6193}"/>
    <cellStyle name="Normal 4 3 3_Exist Trunk Assets - Ferry" xfId="9283" xr:uid="{C907370D-53DD-4C7F-A26F-867DE4BEE5D6}"/>
    <cellStyle name="Normal 4 3 4" xfId="5917" xr:uid="{40402C32-8007-4EC7-93AB-E73CB9F58BA4}"/>
    <cellStyle name="Normal 4 3 4 2" xfId="5918" xr:uid="{D1F80037-47A6-46F5-ABAB-974E6514FCFF}"/>
    <cellStyle name="Normal 4 3 4_Exist Trunk Assets - Ferry" xfId="9284" xr:uid="{D977CAB5-15F9-453A-AD7A-78F062B2D486}"/>
    <cellStyle name="Normal 4 3 5" xfId="5919" xr:uid="{D34121D4-9DCF-46B9-9EA3-D594858A8B19}"/>
    <cellStyle name="Normal 4 3_Exist Trunk Assets - Ferry" xfId="9279" xr:uid="{76B92208-1F99-48D8-9509-84DADE2E1CF1}"/>
    <cellStyle name="Normal 4 4" xfId="1538" xr:uid="{029824FA-4AB7-4B5A-9B2A-079EE9049527}"/>
    <cellStyle name="Normal 4 4 2" xfId="1539" xr:uid="{E78AF393-7C3A-42D1-BBEA-1CA75D0AFC64}"/>
    <cellStyle name="Normal 4 4 2 2" xfId="5920" xr:uid="{89E6715B-C3C0-40E9-BADB-D6152973536A}"/>
    <cellStyle name="Normal 4 4 2 2 2" xfId="5921" xr:uid="{CFEC2B4D-50F0-494A-BDB4-0573F0EF7241}"/>
    <cellStyle name="Normal 4 4 2 2_Exist Trunk Assets - Ferry" xfId="9287" xr:uid="{A8B0857B-E88B-4909-A491-B0779E0C526C}"/>
    <cellStyle name="Normal 4 4 2 3" xfId="5922" xr:uid="{5EC57C77-A0B9-4E42-8848-15DDED2E444D}"/>
    <cellStyle name="Normal 4 4 2 3 2" xfId="5923" xr:uid="{67D5584A-BF10-4BFC-9849-0BC44A3A0327}"/>
    <cellStyle name="Normal 4 4 2 3_Exist Trunk Assets - Ferry" xfId="9288" xr:uid="{1B4EA2A7-2331-447F-94DD-BB6A86F146B1}"/>
    <cellStyle name="Normal 4 4 2 4" xfId="5924" xr:uid="{EA71F964-A617-4FE1-975A-C0C19ECED2EA}"/>
    <cellStyle name="Normal 4 4 2_Exist Trunk Assets - Ferry" xfId="9286" xr:uid="{3F079952-7245-435A-92B5-B36498EB84C1}"/>
    <cellStyle name="Normal 4 4 3" xfId="5925" xr:uid="{36340ECF-38A6-45B8-848B-4D2DB0E84FC5}"/>
    <cellStyle name="Normal 4 4 3 2" xfId="5926" xr:uid="{787AC3B2-CF61-49DC-97AE-56D89C244C70}"/>
    <cellStyle name="Normal 4 4 3_Exist Trunk Assets - Ferry" xfId="9289" xr:uid="{0672754F-9F1A-492A-8801-05BF0D40CB01}"/>
    <cellStyle name="Normal 4 4 4" xfId="5927" xr:uid="{F5176823-A557-48C6-9ED2-3212E577B8AF}"/>
    <cellStyle name="Normal 4 4 4 2" xfId="5928" xr:uid="{DDCF9865-1866-4C94-8EDC-FC50F7C14501}"/>
    <cellStyle name="Normal 4 4 4_Exist Trunk Assets - Ferry" xfId="9290" xr:uid="{D8BB5722-F828-4E02-B849-A4B7E910E178}"/>
    <cellStyle name="Normal 4 4 5" xfId="5929" xr:uid="{81409766-3059-4871-A46C-325B5D4114C5}"/>
    <cellStyle name="Normal 4 4_Exist Trunk Assets - Ferry" xfId="9285" xr:uid="{CE4A8E61-E5A6-4AA7-89C7-23EFB2A062D2}"/>
    <cellStyle name="Normal 4 5" xfId="1540" xr:uid="{0553CA6C-D571-4D68-BCFD-0C2D1FEA0851}"/>
    <cellStyle name="Normal 4 5 2" xfId="1541" xr:uid="{D76253AA-4B4B-4696-B316-FECBF511DEBA}"/>
    <cellStyle name="Normal 4 5 2 2" xfId="5930" xr:uid="{BECFC6C5-F167-46FD-A237-1C9C0AF688BB}"/>
    <cellStyle name="Normal 4 5 2 2 2" xfId="5931" xr:uid="{9C1469D7-F883-4A5B-BAA4-0B5DEA4C1D53}"/>
    <cellStyle name="Normal 4 5 2 2_Exist Trunk Assets - Ferry" xfId="9293" xr:uid="{32617E91-A629-4263-979E-10B5EE441ADB}"/>
    <cellStyle name="Normal 4 5 2 3" xfId="5932" xr:uid="{0A71FD22-28BF-41D4-831A-C3A39EC59572}"/>
    <cellStyle name="Normal 4 5 2 3 2" xfId="5933" xr:uid="{257FDC89-047F-4CB7-BB24-FB9FE03FCE6B}"/>
    <cellStyle name="Normal 4 5 2 3_Exist Trunk Assets - Ferry" xfId="9294" xr:uid="{84742B6E-5AA7-4D65-B5E7-E1B144B1E44D}"/>
    <cellStyle name="Normal 4 5 2 4" xfId="5934" xr:uid="{8F86C7C8-A2FD-4A21-AF40-AC96A548DA64}"/>
    <cellStyle name="Normal 4 5 2_Exist Trunk Assets - Ferry" xfId="9292" xr:uid="{1F840604-4BA4-4E38-867F-7E86EB8FF420}"/>
    <cellStyle name="Normal 4 5 3" xfId="5935" xr:uid="{30902D07-BB31-4588-B5E4-1714913D6B0F}"/>
    <cellStyle name="Normal 4 5 3 2" xfId="5936" xr:uid="{C6DFD5E6-2638-42BF-A982-DEAEA1BBB9F0}"/>
    <cellStyle name="Normal 4 5 3_Exist Trunk Assets - Ferry" xfId="9295" xr:uid="{0503014A-3B48-4CEE-8FB1-679E266863BB}"/>
    <cellStyle name="Normal 4 5 4" xfId="5937" xr:uid="{A9D8BC89-8EA2-4A54-B6B4-211C38B096EF}"/>
    <cellStyle name="Normal 4 5 4 2" xfId="5938" xr:uid="{0E7D8633-5DE3-4414-B647-9692291B3A5A}"/>
    <cellStyle name="Normal 4 5 4_Exist Trunk Assets - Ferry" xfId="9296" xr:uid="{FD44C5B8-7027-4313-967D-E545EEFDAF75}"/>
    <cellStyle name="Normal 4 5 5" xfId="5939" xr:uid="{A3BF4904-6DF0-4EBB-93BF-DF14EE39E10D}"/>
    <cellStyle name="Normal 4 5_Exist Trunk Assets - Ferry" xfId="9291" xr:uid="{A85D9403-64A4-4C00-BDDF-083213B4B7B2}"/>
    <cellStyle name="Normal 4 6" xfId="1542" xr:uid="{2F4EB0D4-28E2-4C7F-8D4D-9DE5B3C86D1A}"/>
    <cellStyle name="Normal 4 6 2" xfId="5940" xr:uid="{E9BA27CA-747C-4F7F-9F9E-6FBC632F2C9E}"/>
    <cellStyle name="Normal 4 6 2 2" xfId="5941" xr:uid="{4E53861F-564D-43F0-93A7-DAF090F8F69F}"/>
    <cellStyle name="Normal 4 6 2_Exist Trunk Assets - Ferry" xfId="9298" xr:uid="{CABA6BCF-F933-4C94-B0FD-A42B3365854E}"/>
    <cellStyle name="Normal 4 6 3" xfId="5942" xr:uid="{5C04A9D7-C52D-4FAA-BFE0-0F26747B2962}"/>
    <cellStyle name="Normal 4 6 3 2" xfId="5943" xr:uid="{41A1C315-75F4-4B1B-B1B0-2288C5396210}"/>
    <cellStyle name="Normal 4 6 3_Exist Trunk Assets - Ferry" xfId="9299" xr:uid="{0421DD19-4210-44A2-A310-4F48E64BF90B}"/>
    <cellStyle name="Normal 4 6 4" xfId="5944" xr:uid="{98E33A3A-EA91-47F0-B7DA-D38B353B7BBD}"/>
    <cellStyle name="Normal 4 6_Exist Trunk Assets - Ferry" xfId="9297" xr:uid="{2F50E654-8A4C-45F7-922C-790D00DBD420}"/>
    <cellStyle name="Normal 4 7" xfId="1831" xr:uid="{887BAE3D-9233-435D-AF6D-E4086D231CBE}"/>
    <cellStyle name="Normal 4 7 2" xfId="5945" xr:uid="{2A199BFB-7000-4A71-818B-F2532238DA2D}"/>
    <cellStyle name="Normal 4 7 3" xfId="5946" xr:uid="{625EFD64-96AD-45D1-94DC-9A366AE72793}"/>
    <cellStyle name="Normal 4 7_Exist Trunk Assets - Ferry" xfId="9300" xr:uid="{F4908AE9-990C-441A-B65F-1C357B6F7DBA}"/>
    <cellStyle name="Normal 4 8" xfId="2560" xr:uid="{975DBAF8-6E3B-4E77-92B9-3B4740235612}"/>
    <cellStyle name="Normal 4 8 2" xfId="5947" xr:uid="{958E5133-84B2-4E12-97CF-E6100525444E}"/>
    <cellStyle name="Normal 4 8 2 2" xfId="5948" xr:uid="{C4B8E189-B854-47EA-BF4F-825493ECF579}"/>
    <cellStyle name="Normal 4 8 2_Exist Trunk Assets - Ferry" xfId="9302" xr:uid="{7184B4C9-36C8-474C-AA5E-19154B336448}"/>
    <cellStyle name="Normal 4 8 3" xfId="5949" xr:uid="{25D043F6-7835-4954-B613-BD221523A352}"/>
    <cellStyle name="Normal 4 8_Exist Trunk Assets - Ferry" xfId="9301" xr:uid="{5F1C4845-115B-4B15-A7D9-5F083D81A6F6}"/>
    <cellStyle name="Normal 4 9" xfId="5950" xr:uid="{9BF851DA-D8E8-40DC-9AC8-7B061617B47C}"/>
    <cellStyle name="Normal 4_Exist Trunk Assets - Ferry" xfId="9258" xr:uid="{D40F5E98-7C72-4B63-B70D-DF237973D43D}"/>
    <cellStyle name="Normal 40" xfId="23" xr:uid="{23318257-84A9-4CF2-B93C-B7D782AD18F5}"/>
    <cellStyle name="Normal 40 2" xfId="5951" xr:uid="{44BF00C3-36D9-45F4-BA2E-0EE873926C55}"/>
    <cellStyle name="Normal 40 3" xfId="5952" xr:uid="{D30B57BD-0087-4A47-926E-F13BC92E38D8}"/>
    <cellStyle name="Normal 40_Exist Trunk Assets - Ferry" xfId="9303" xr:uid="{A88ECEE8-214E-43DA-B9BF-FE51EF54F9D5}"/>
    <cellStyle name="Normal 41" xfId="1543" xr:uid="{6ECC170D-8C97-4DFF-B6F6-3AEC4C4D1CCE}"/>
    <cellStyle name="Normal 41 2" xfId="5953" xr:uid="{2ACFD6B0-BA76-4B33-B4B0-1E5448608050}"/>
    <cellStyle name="Normal 41 3" xfId="5954" xr:uid="{92A99B8B-0270-49D4-8664-B381A28793FA}"/>
    <cellStyle name="Normal 41_Exist Trunk Assets - Ferry" xfId="9304" xr:uid="{549EF10B-AAB5-42D9-9BF7-93FFC88AB159}"/>
    <cellStyle name="Normal 42" xfId="1544" xr:uid="{9253D730-59CB-4FD6-8C78-087EC8900F81}"/>
    <cellStyle name="Normal 42 2" xfId="5955" xr:uid="{15621DF1-E5D5-4A79-9DB6-F383D8B9D360}"/>
    <cellStyle name="Normal 42 3" xfId="5956" xr:uid="{E1C3CC47-24AE-4A23-A067-0ED10B2E2BE7}"/>
    <cellStyle name="Normal 42_Exist Trunk Assets - Ferry" xfId="9305" xr:uid="{5F558BDD-83D7-4688-BB72-74582855D332}"/>
    <cellStyle name="Normal 43" xfId="1545" xr:uid="{8FE5A673-7FF5-4F6C-98AE-823F6311B3FD}"/>
    <cellStyle name="Normal 43 2" xfId="5957" xr:uid="{AA2C36C4-1564-4720-98F4-D63E61EAF3F9}"/>
    <cellStyle name="Normal 43 3" xfId="5958" xr:uid="{AE380D1A-3D3F-4C97-BBD1-6F7693DB0775}"/>
    <cellStyle name="Normal 43_Exist Trunk Assets - Ferry" xfId="9306" xr:uid="{24F005BE-B816-4286-BA91-F966FB396AD7}"/>
    <cellStyle name="Normal 44" xfId="2435" xr:uid="{793C5DDB-413A-47D6-9B0D-D9071C57F675}"/>
    <cellStyle name="Normal 44 2" xfId="2564" xr:uid="{AC04F260-F177-43EB-AF46-6389635BE5AC}"/>
    <cellStyle name="Normal 44 2 2" xfId="5959" xr:uid="{17CB8FDD-F7B2-4CA5-8134-B33FA4F2BC30}"/>
    <cellStyle name="Normal 44 2 3" xfId="5960" xr:uid="{C2FA6B5A-2B19-4FB7-AF20-EA4D4A1B58E1}"/>
    <cellStyle name="Normal 44 2_Exist Trunk Assets - Ferry" xfId="9308" xr:uid="{AEB7163D-BEB8-432F-99E7-347F785E5EA3}"/>
    <cellStyle name="Normal 44 3" xfId="5961" xr:uid="{7892834C-7630-4444-B842-10E3AF556E38}"/>
    <cellStyle name="Normal 44 4" xfId="5962" xr:uid="{20133E25-150F-4611-BB8E-4FBEFDAFE1D3}"/>
    <cellStyle name="Normal 44 5" xfId="5963" xr:uid="{2904F596-4075-427B-954B-C9607F517034}"/>
    <cellStyle name="Normal 44 6" xfId="5964" xr:uid="{BA2C5FDC-1653-48A0-8BA8-4FD812E86887}"/>
    <cellStyle name="Normal 44_Exist Trunk Assets - Ferry" xfId="9307" xr:uid="{F2F763B7-97BA-4541-864B-37963AF0F16F}"/>
    <cellStyle name="Normal 45" xfId="5965" xr:uid="{BBE74C2C-0CDA-4112-BF20-8ABD1E12CE38}"/>
    <cellStyle name="Normal 45 2" xfId="5966" xr:uid="{F7170E5E-F758-4643-9512-D423D4F37FBE}"/>
    <cellStyle name="Normal 45 2 2" xfId="5967" xr:uid="{8CCB5977-75C2-4314-9780-2147F9BBE568}"/>
    <cellStyle name="Normal 45 2_Exist Trunk Assets - Ferry" xfId="9310" xr:uid="{1843F10A-03D0-435E-B68A-8E35D67A424D}"/>
    <cellStyle name="Normal 45 3" xfId="5968" xr:uid="{96AD744E-C527-4729-9D03-D19047C6272C}"/>
    <cellStyle name="Normal 45_Exist Trunk Assets - Ferry" xfId="9309" xr:uid="{1BDCC67C-039F-4523-BAC0-6CBBC45D8CDD}"/>
    <cellStyle name="Normal 46" xfId="5969" xr:uid="{8CB693C3-023C-4FE6-AF47-3B71A07E125E}"/>
    <cellStyle name="Normal 46 2" xfId="5970" xr:uid="{96151908-AE16-470E-ADDE-E2FCE61DE0DB}"/>
    <cellStyle name="Normal 46 2 2" xfId="5971" xr:uid="{D87D7B35-8743-4A33-BF99-324406947991}"/>
    <cellStyle name="Normal 46 2_Exist Trunk Assets - Ferry" xfId="9312" xr:uid="{9704B996-B733-44BD-B54F-72A79C10BDBA}"/>
    <cellStyle name="Normal 46 3" xfId="5972" xr:uid="{2720A3F8-BB35-4D0C-84FE-5344380D59A4}"/>
    <cellStyle name="Normal 46_Exist Trunk Assets - Ferry" xfId="9311" xr:uid="{69C5F3CE-5853-43DB-A5FE-8E32650D77D4}"/>
    <cellStyle name="Normal 47" xfId="1546" xr:uid="{A30E526B-88D4-4D85-9D9A-FAE6D4EEFCCE}"/>
    <cellStyle name="Normal 47 2" xfId="5973" xr:uid="{9B3A850B-B249-4B2C-9C21-41C0CBD65DD0}"/>
    <cellStyle name="Normal 47 3" xfId="5974" xr:uid="{3108BE71-2F4C-4E99-9FF2-AC1D0668EAA7}"/>
    <cellStyle name="Normal 47_Exist Trunk Assets - Ferry" xfId="9313" xr:uid="{3E610015-BE5B-402D-A2EC-4165FD37C866}"/>
    <cellStyle name="Normal 48" xfId="13" xr:uid="{BF84E99A-7E73-4DAF-835D-56063EF82E46}"/>
    <cellStyle name="Normal 48 2" xfId="5975" xr:uid="{6BFCCDDA-4D06-4106-8F33-3AB36C9D588D}"/>
    <cellStyle name="Normal 48 3" xfId="5976" xr:uid="{BAF5E77E-C040-4506-A6E1-43F01F6E3A38}"/>
    <cellStyle name="Normal 48_Exist Trunk Assets - Ferry" xfId="9314" xr:uid="{718ADAA8-B725-4A88-A281-12773F056EC5}"/>
    <cellStyle name="Normal 49" xfId="14" xr:uid="{B1CA8C58-F001-461D-AB35-92559F684D65}"/>
    <cellStyle name="Normal 49 2" xfId="5977" xr:uid="{0BFE0427-E13D-447C-8618-21B0CC48E3A0}"/>
    <cellStyle name="Normal 49 3" xfId="5978" xr:uid="{78482B43-B28D-4989-90B4-9DDF7118CC93}"/>
    <cellStyle name="Normal 49_Exist Trunk Assets - Ferry" xfId="9315" xr:uid="{6B1AAA1C-B59F-4E14-87BD-B6186F955729}"/>
    <cellStyle name="Normal 5" xfId="1547" xr:uid="{5E598EFB-835B-4ED0-B760-004F4F1907A4}"/>
    <cellStyle name="Normal 5 10" xfId="8163" xr:uid="{561BBFDF-C1FA-4283-AE1D-4AC567C40AD0}"/>
    <cellStyle name="Normal 5 2" xfId="1548" xr:uid="{5DA2A2D0-8B09-439D-BB9E-10A354D98C6A}"/>
    <cellStyle name="Normal 5 2 2" xfId="1549" xr:uid="{F11F3F68-4548-4C99-86F9-DBF86DC4B0C0}"/>
    <cellStyle name="Normal 5 2 2 2" xfId="5979" xr:uid="{1DF5FFA7-567D-4AE9-BF7B-C5F73AD96D1E}"/>
    <cellStyle name="Normal 5 2 2 2 2" xfId="5980" xr:uid="{FD917B71-04DF-49AB-90F5-79E12A106237}"/>
    <cellStyle name="Normal 5 2 2 2_Exist Trunk Assets - Ferry" xfId="9319" xr:uid="{2B38D4A5-0AF3-441C-B87A-D2E32A0BEF11}"/>
    <cellStyle name="Normal 5 2 2 3" xfId="5981" xr:uid="{49C765C1-61D4-41B9-B6A3-DE7748F2F02E}"/>
    <cellStyle name="Normal 5 2 2 3 2" xfId="5982" xr:uid="{FCCE85D9-9DB4-426D-A8DB-96CE561AC5D6}"/>
    <cellStyle name="Normal 5 2 2 3_Exist Trunk Assets - Ferry" xfId="9320" xr:uid="{06DE7403-75CF-439A-9392-756BD49977AA}"/>
    <cellStyle name="Normal 5 2 2 4" xfId="5983" xr:uid="{73D61D53-21E0-4063-88AD-09D4D2393E44}"/>
    <cellStyle name="Normal 5 2 2_Exist Trunk Assets - Ferry" xfId="9318" xr:uid="{15718E21-E98F-4AFE-AE20-500F6F8DAEC0}"/>
    <cellStyle name="Normal 5 2 3" xfId="2416" xr:uid="{85132AC4-D849-433A-B5F5-B2EEA7DB3265}"/>
    <cellStyle name="Normal 5 2 3 2" xfId="5984" xr:uid="{F99E145D-EA13-41E1-A630-D507B23E0586}"/>
    <cellStyle name="Normal 5 2 3 3" xfId="5985" xr:uid="{530820C7-4AA6-40A0-B36A-F972DF7B2B5F}"/>
    <cellStyle name="Normal 5 2 3_Exist Trunk Assets - Ferry" xfId="9321" xr:uid="{D6F04A06-C08B-4EA6-B201-5FF12203BC57}"/>
    <cellStyle name="Normal 5 2 4" xfId="5986" xr:uid="{994BFF0D-3C3B-403D-A410-F90BD75106E2}"/>
    <cellStyle name="Normal 5 2 4 2" xfId="5987" xr:uid="{CD0170E7-CC23-44FB-B4CE-937DFB646398}"/>
    <cellStyle name="Normal 5 2 4_Exist Trunk Assets - Ferry" xfId="9322" xr:uid="{24920B14-022F-483F-974C-31288CAAA1CB}"/>
    <cellStyle name="Normal 5 2 5" xfId="5988" xr:uid="{21BF933C-5D59-4DB7-9388-4876B5E1C598}"/>
    <cellStyle name="Normal 5 2 5 2" xfId="5989" xr:uid="{C07541B3-67E4-4061-A10F-536DAE9A6EB7}"/>
    <cellStyle name="Normal 5 2 5_Exist Trunk Assets - Ferry" xfId="9323" xr:uid="{965A0A2B-4759-4D15-9D93-1A164F2A912A}"/>
    <cellStyle name="Normal 5 2 6" xfId="5990" xr:uid="{68E807CD-77BF-4A4C-B618-FF41017F1C79}"/>
    <cellStyle name="Normal 5 2_Exist Trunk Assets - Ferry" xfId="9317" xr:uid="{B42A5ED7-E8BB-4F7B-85D0-6B7168903400}"/>
    <cellStyle name="Normal 5 3" xfId="1550" xr:uid="{D51B789F-AACC-49C6-84F1-E247F948BDCA}"/>
    <cellStyle name="Normal 5 3 2" xfId="1551" xr:uid="{DB94FF21-56FB-49ED-BE1D-DD30F10FD14A}"/>
    <cellStyle name="Normal 5 3 2 2" xfId="5991" xr:uid="{CF3E026B-E9E5-425D-ACF6-07B0781B6AA1}"/>
    <cellStyle name="Normal 5 3 2 2 2" xfId="5992" xr:uid="{C62ABAD8-080D-4E91-BEEB-93DCC2BAF5C6}"/>
    <cellStyle name="Normal 5 3 2 2_Exist Trunk Assets - Ferry" xfId="9326" xr:uid="{21296402-29FB-4423-B2A9-C643D948242D}"/>
    <cellStyle name="Normal 5 3 2 3" xfId="5993" xr:uid="{06463928-CE71-4416-95C0-2CECAC29932A}"/>
    <cellStyle name="Normal 5 3 2 3 2" xfId="5994" xr:uid="{7EE3310E-F52A-4E95-B994-E4DE97B1FA7F}"/>
    <cellStyle name="Normal 5 3 2 3_Exist Trunk Assets - Ferry" xfId="9327" xr:uid="{007D3624-DF0F-4B03-88F7-EE244E927291}"/>
    <cellStyle name="Normal 5 3 2 4" xfId="5995" xr:uid="{FECC03C3-7675-4A21-85DF-C3192247972C}"/>
    <cellStyle name="Normal 5 3 2_Exist Trunk Assets - Ferry" xfId="9325" xr:uid="{E8D66056-50C4-4A45-9CFF-A1FB6AA5A445}"/>
    <cellStyle name="Normal 5 3 3" xfId="5996" xr:uid="{B35B83D9-9389-45A9-A4AE-7C7E6CB9F3BF}"/>
    <cellStyle name="Normal 5 3 3 2" xfId="5997" xr:uid="{9BC29F0E-2FA3-4368-8646-AF4E18E3BEDF}"/>
    <cellStyle name="Normal 5 3 3_Exist Trunk Assets - Ferry" xfId="9328" xr:uid="{EEFCFB7F-44CE-4870-B59C-E581F33CB755}"/>
    <cellStyle name="Normal 5 3 4" xfId="5998" xr:uid="{1F1CEE16-0675-40E6-A163-0E7A035246C3}"/>
    <cellStyle name="Normal 5 3 4 2" xfId="5999" xr:uid="{B361FE35-23CF-4C68-A113-730E4ECAA330}"/>
    <cellStyle name="Normal 5 3 4_Exist Trunk Assets - Ferry" xfId="9329" xr:uid="{E5590D3A-C29F-4564-9232-C7C81A954481}"/>
    <cellStyle name="Normal 5 3 5" xfId="6000" xr:uid="{000F9FAE-DB9D-4C97-A4C4-1DB55FF66561}"/>
    <cellStyle name="Normal 5 3_Exist Trunk Assets - Ferry" xfId="9324" xr:uid="{512C4350-464F-4CEF-B51F-139F99224936}"/>
    <cellStyle name="Normal 5 4" xfId="1552" xr:uid="{C11F4861-8ABE-40F7-B715-3B910880A572}"/>
    <cellStyle name="Normal 5 4 2" xfId="1553" xr:uid="{77D5BA84-EB6D-4494-B0C7-B9F952C897DB}"/>
    <cellStyle name="Normal 5 4 2 2" xfId="6001" xr:uid="{3144D20E-A627-4AE8-BF64-936F7D453993}"/>
    <cellStyle name="Normal 5 4 2 2 2" xfId="6002" xr:uid="{369A558B-413A-407F-B7B5-F9D6F5A3A338}"/>
    <cellStyle name="Normal 5 4 2 2_Exist Trunk Assets - Ferry" xfId="9332" xr:uid="{BB6555D1-A7EC-4DEF-85E8-DA4217A63909}"/>
    <cellStyle name="Normal 5 4 2 3" xfId="6003" xr:uid="{E96E5E64-5FC5-483C-A81F-DD00C8A8B317}"/>
    <cellStyle name="Normal 5 4 2 3 2" xfId="6004" xr:uid="{BFB32D57-83D1-4727-8920-2ECA373C9A05}"/>
    <cellStyle name="Normal 5 4 2 3_Exist Trunk Assets - Ferry" xfId="9333" xr:uid="{550CD2AC-E06B-4C09-B7CA-975AFFDE9C6E}"/>
    <cellStyle name="Normal 5 4 2 4" xfId="6005" xr:uid="{ABD9DC9D-C858-4944-9AD0-ECFA67263A36}"/>
    <cellStyle name="Normal 5 4 2_Exist Trunk Assets - Ferry" xfId="9331" xr:uid="{6A815FA1-0BE6-4518-9428-9DDA67AB3FCE}"/>
    <cellStyle name="Normal 5 4 3" xfId="6006" xr:uid="{DFA73FE0-B6D4-4304-AC84-164BD440AAC1}"/>
    <cellStyle name="Normal 5 4 3 2" xfId="6007" xr:uid="{8915FE17-E5CB-4986-86E0-9414575DC418}"/>
    <cellStyle name="Normal 5 4 3_Exist Trunk Assets - Ferry" xfId="9334" xr:uid="{4F77D6AD-521D-47F9-ABB7-DC497D2868A1}"/>
    <cellStyle name="Normal 5 4 4" xfId="6008" xr:uid="{B35788E4-BA9C-496C-919F-DC4B435ED28E}"/>
    <cellStyle name="Normal 5 4 4 2" xfId="6009" xr:uid="{AF546ACB-C92B-428A-8254-D6A5E88274E1}"/>
    <cellStyle name="Normal 5 4 4_Exist Trunk Assets - Ferry" xfId="9335" xr:uid="{B25907BA-E176-4916-B36B-AE428CC3ED1F}"/>
    <cellStyle name="Normal 5 4 5" xfId="6010" xr:uid="{5C5F9A4A-F6E2-4B2B-AEA6-B2E90B45422C}"/>
    <cellStyle name="Normal 5 4_Exist Trunk Assets - Ferry" xfId="9330" xr:uid="{81D4CF6C-5F4E-4BB7-9A1D-DE04B07C4355}"/>
    <cellStyle name="Normal 5 5" xfId="1554" xr:uid="{66933233-4DF2-4760-89DA-90018F5F3FA1}"/>
    <cellStyle name="Normal 5 5 2" xfId="6011" xr:uid="{07B5136A-F4CB-4DCA-84C1-60609BF6ABD8}"/>
    <cellStyle name="Normal 5 5 2 2" xfId="6012" xr:uid="{61DB1EFF-F413-49E2-8009-23AB78E953B9}"/>
    <cellStyle name="Normal 5 5 2_Exist Trunk Assets - Ferry" xfId="9337" xr:uid="{1711C404-0017-4E7F-96DB-79BA31021AA8}"/>
    <cellStyle name="Normal 5 5 3" xfId="6013" xr:uid="{21B7C7B0-CCE7-4D88-962C-B5F5EFCEF267}"/>
    <cellStyle name="Normal 5 5 3 2" xfId="6014" xr:uid="{A3315E7C-D2AA-4079-B5D9-8436E847077A}"/>
    <cellStyle name="Normal 5 5 3_Exist Trunk Assets - Ferry" xfId="9338" xr:uid="{9C1DDAF9-9B08-45F9-A926-92CF97C94220}"/>
    <cellStyle name="Normal 5 5 4" xfId="6015" xr:uid="{23D5F484-F146-42E1-AF01-0A4C3B20B90F}"/>
    <cellStyle name="Normal 5 5_Exist Trunk Assets - Ferry" xfId="9336" xr:uid="{8EC9D05F-06FC-400D-9F9A-C96C65DB8C37}"/>
    <cellStyle name="Normal 5 6" xfId="2316" xr:uid="{C5A51E81-16BE-447C-82E9-6CF3242376FD}"/>
    <cellStyle name="Normal 5 6 2" xfId="6016" xr:uid="{6CB3D3AC-4275-4390-AE8D-21B2456062A2}"/>
    <cellStyle name="Normal 5 6 3" xfId="6017" xr:uid="{6A66F2AB-8E8D-4C40-8D7A-C33CC1BE2A15}"/>
    <cellStyle name="Normal 5 6_Exist Trunk Assets - Ferry" xfId="9339" xr:uid="{3EC699A2-E047-4059-86DE-6D8601879F7E}"/>
    <cellStyle name="Normal 5 7" xfId="6018" xr:uid="{DAB3E936-3188-4BC4-BFD2-62F314C07EDF}"/>
    <cellStyle name="Normal 5 7 2" xfId="6019" xr:uid="{814A3CBA-13F1-44A4-8A32-ED057BB4299F}"/>
    <cellStyle name="Normal 5 7_Exist Trunk Assets - Ferry" xfId="9340" xr:uid="{ECEF9F4F-46EA-4875-BAC9-BB9C344E225C}"/>
    <cellStyle name="Normal 5 8" xfId="6020" xr:uid="{457E05AB-832C-4972-AD1D-59FF1CBD57FB}"/>
    <cellStyle name="Normal 5 8 2" xfId="6021" xr:uid="{6D6974D2-214C-4CBD-B0C1-8E2DF4600D7F}"/>
    <cellStyle name="Normal 5 8_Exist Trunk Assets - Ferry" xfId="9341" xr:uid="{CD1848DC-3785-4B1C-86CA-8F536690B302}"/>
    <cellStyle name="Normal 5 9" xfId="6022" xr:uid="{C763C453-14C8-4017-98C1-F1AC02441869}"/>
    <cellStyle name="Normal 5_Exist Trunk Assets - Ferry" xfId="9316" xr:uid="{BE206EBD-DE40-4C4A-9F83-A563281B0AFC}"/>
    <cellStyle name="Normal 50" xfId="1555" xr:uid="{48DD35A3-2B87-44F8-B692-8E41276C2183}"/>
    <cellStyle name="Normal 50 2" xfId="6023" xr:uid="{14C46E9C-1C11-49CF-AFFD-8D992E382BC6}"/>
    <cellStyle name="Normal 50 3" xfId="6024" xr:uid="{D7047201-B44C-45CD-9903-DC44D07AFDEB}"/>
    <cellStyle name="Normal 50_Exist Trunk Assets - Ferry" xfId="9342" xr:uid="{5D734D4F-7C01-46B6-BC90-BA5AF45D332D}"/>
    <cellStyle name="Normal 51" xfId="15" xr:uid="{DC72BAFA-C442-48ED-BBDE-0C3A1ECB09F8}"/>
    <cellStyle name="Normal 51 2" xfId="6025" xr:uid="{9A98CEB0-B392-4518-80BF-440EDEADF93A}"/>
    <cellStyle name="Normal 51 3" xfId="6026" xr:uid="{06A7ABAC-A5BA-4403-9826-EE4A394E9571}"/>
    <cellStyle name="Normal 51_Exist Trunk Assets - Ferry" xfId="9343" xr:uid="{96366706-0363-49C1-8C0C-F5CB975AD70F}"/>
    <cellStyle name="Normal 52" xfId="6027" xr:uid="{EAB6ECED-34BA-4A0F-852D-AD2925AF2815}"/>
    <cellStyle name="Normal 52 2" xfId="6028" xr:uid="{903EF054-AEB4-4B45-8C72-3C4720FBA521}"/>
    <cellStyle name="Normal 52_Exist Trunk Assets - Ferry" xfId="9344" xr:uid="{70E43C6E-960B-4F66-A4C2-3010F568440E}"/>
    <cellStyle name="Normal 53" xfId="16" xr:uid="{B4AD9FED-2AE0-45AD-ABC0-B4CD81E56392}"/>
    <cellStyle name="Normal 53 2" xfId="6029" xr:uid="{58512158-3580-4991-9A92-84E64694E05B}"/>
    <cellStyle name="Normal 53 3" xfId="6030" xr:uid="{492B51BE-9D01-47B1-B216-A663C8752E7A}"/>
    <cellStyle name="Normal 53_Exist Trunk Assets - Ferry" xfId="9345" xr:uid="{97569062-A9C9-44BA-9472-67FF32BDFC42}"/>
    <cellStyle name="Normal 54" xfId="17" xr:uid="{8124BCAF-6569-4253-86B7-320D922B0BD9}"/>
    <cellStyle name="Normal 54 2" xfId="6031" xr:uid="{16F5FE50-7753-497E-8DF6-33F50033193D}"/>
    <cellStyle name="Normal 54 3" xfId="6032" xr:uid="{31D8A775-A10F-44C1-AF24-457587B90757}"/>
    <cellStyle name="Normal 54_Exist Trunk Assets - Ferry" xfId="9346" xr:uid="{5E821761-E009-401A-BA5E-B9F5904984AC}"/>
    <cellStyle name="Normal 55" xfId="1556" xr:uid="{68E23EF5-A146-42F1-A9FC-2FE5A3619B8E}"/>
    <cellStyle name="Normal 55 2" xfId="6033" xr:uid="{F4267607-CABA-4501-918E-B008B5F1F722}"/>
    <cellStyle name="Normal 55 3" xfId="6034" xr:uid="{D29C0D78-DD2F-4ACD-ABE0-527DA8C578F8}"/>
    <cellStyle name="Normal 55_Exist Trunk Assets - Ferry" xfId="9347" xr:uid="{F00CCF49-FC65-40E1-B7FF-1686D76FFDC9}"/>
    <cellStyle name="Normal 56" xfId="18" xr:uid="{FC6E8BAB-BB11-4F91-B569-B9228F515451}"/>
    <cellStyle name="Normal 56 2" xfId="6035" xr:uid="{0E074972-892D-448E-97F9-75B728CD22B9}"/>
    <cellStyle name="Normal 56 3" xfId="6036" xr:uid="{118C6041-3D4E-4190-B91E-8BEC82AD3B80}"/>
    <cellStyle name="Normal 56_Exist Trunk Assets - Ferry" xfId="9348" xr:uid="{2BC4F9A7-C622-4430-8788-893A485E3394}"/>
    <cellStyle name="Normal 57" xfId="19" xr:uid="{4D7EA973-CCC6-4DDA-B460-C567EEDEC849}"/>
    <cellStyle name="Normal 57 2" xfId="6037" xr:uid="{FDB674A6-FD74-4534-B453-075014B035A6}"/>
    <cellStyle name="Normal 57 3" xfId="6038" xr:uid="{79476C69-A113-43D7-BE66-A38632EF601B}"/>
    <cellStyle name="Normal 57_Exist Trunk Assets - Ferry" xfId="9349" xr:uid="{8679BE6B-8772-4484-B477-A7DFBB4062E3}"/>
    <cellStyle name="Normal 58" xfId="20" xr:uid="{F2AA2953-0DAE-4E0C-A2FE-E2CD11B7AA21}"/>
    <cellStyle name="Normal 58 2" xfId="6039" xr:uid="{DCE37B24-DD61-4570-9F89-17DE8109475A}"/>
    <cellStyle name="Normal 58 3" xfId="6040" xr:uid="{44268817-3963-479A-9E0B-864ECDEDD2C6}"/>
    <cellStyle name="Normal 58_Exist Trunk Assets - Ferry" xfId="9350" xr:uid="{8BACF846-EE29-4A07-A36A-0011F2590451}"/>
    <cellStyle name="Normal 59" xfId="1557" xr:uid="{561CE474-8EB2-493B-A117-3C8E5270960F}"/>
    <cellStyle name="Normal 59 2" xfId="6041" xr:uid="{101BC5F6-1152-4316-90BF-A0ED42B146FE}"/>
    <cellStyle name="Normal 59 3" xfId="6042" xr:uid="{C4AA6A74-7646-4A45-A541-15FD979B5A4B}"/>
    <cellStyle name="Normal 59_Exist Trunk Assets - Ferry" xfId="9351" xr:uid="{7B4A87C8-5F2A-401A-BCFF-157AFC7517D2}"/>
    <cellStyle name="Normal 6" xfId="1558" xr:uid="{29863C60-0DD6-4F84-8B4C-D4D0D2D7B9F1}"/>
    <cellStyle name="Normal 6 2" xfId="1559" xr:uid="{02B9D124-A51D-4874-8216-D8C078009E33}"/>
    <cellStyle name="Normal 6 2 2" xfId="1560" xr:uid="{CE856348-3BEE-4208-9134-8BE0E8FDA84B}"/>
    <cellStyle name="Normal 6 2 2 2" xfId="6043" xr:uid="{B7D79DDA-E42E-41D0-BABB-2935BDABB307}"/>
    <cellStyle name="Normal 6 2 2 2 2" xfId="6044" xr:uid="{915CDC56-1303-46DE-95DF-CD4056087F2F}"/>
    <cellStyle name="Normal 6 2 2 2_Exist Trunk Assets - Ferry" xfId="9355" xr:uid="{F17AED6E-8DEF-4AD5-8D54-28F8BF4DEDAF}"/>
    <cellStyle name="Normal 6 2 2 3" xfId="6045" xr:uid="{F481C8EC-9E0D-4EBE-ABCB-2573051F019B}"/>
    <cellStyle name="Normal 6 2 2 3 2" xfId="6046" xr:uid="{796069F8-DA43-4036-9E89-237A54CA3D54}"/>
    <cellStyle name="Normal 6 2 2 3_Exist Trunk Assets - Ferry" xfId="9356" xr:uid="{A8DB8990-CF47-4D52-85D3-D1BFE8AACDF8}"/>
    <cellStyle name="Normal 6 2 2 4" xfId="6047" xr:uid="{404B3983-427A-4E4F-B9A9-1B130A9A5002}"/>
    <cellStyle name="Normal 6 2 2_Exist Trunk Assets - Ferry" xfId="9354" xr:uid="{809B752E-ADBD-498A-8BCF-75F603441995}"/>
    <cellStyle name="Normal 6 2 3" xfId="6048" xr:uid="{6D9B95CE-CFA3-411D-B872-EC4B9C2A6261}"/>
    <cellStyle name="Normal 6 2 3 2" xfId="6049" xr:uid="{05917D3F-761C-4301-BE6C-3BBED4376EEC}"/>
    <cellStyle name="Normal 6 2 3_Exist Trunk Assets - Ferry" xfId="9357" xr:uid="{CE76760A-6CAB-4AEA-9D4A-2658B34EDB9E}"/>
    <cellStyle name="Normal 6 2 4" xfId="6050" xr:uid="{498A8F91-040A-46EE-8D30-430FAF0B1EFE}"/>
    <cellStyle name="Normal 6 2 4 2" xfId="6051" xr:uid="{88CA6846-DF7F-4B07-BEC5-34C6FB4950FE}"/>
    <cellStyle name="Normal 6 2 4_Exist Trunk Assets - Ferry" xfId="9358" xr:uid="{0E51150D-77DD-4E90-B358-972E7D63E2A5}"/>
    <cellStyle name="Normal 6 2 5" xfId="6052" xr:uid="{606E0D1F-5B5C-419E-A596-52647D10C889}"/>
    <cellStyle name="Normal 6 2_Exist Trunk Assets - Ferry" xfId="9353" xr:uid="{E2713210-00BC-4D27-9034-12C0C92E2AA5}"/>
    <cellStyle name="Normal 6 3" xfId="1561" xr:uid="{CE3E2915-4FDA-458A-A739-327817DA0AF5}"/>
    <cellStyle name="Normal 6 3 2" xfId="6053" xr:uid="{0FB3A50F-FDD3-4796-AD2D-99C37443B62D}"/>
    <cellStyle name="Normal 6 3 2 2" xfId="6054" xr:uid="{FD18E947-2AA8-4B4A-96B7-748D6F3BD388}"/>
    <cellStyle name="Normal 6 3 2_Exist Trunk Assets - Ferry" xfId="9360" xr:uid="{73641F39-88C4-47D1-BEA0-3DAADFF08FDB}"/>
    <cellStyle name="Normal 6 3 3" xfId="6055" xr:uid="{138326E5-A660-491E-BE5A-F2B8671DC8D3}"/>
    <cellStyle name="Normal 6 3 3 2" xfId="6056" xr:uid="{E0895674-18C3-49A3-BCD3-95B64F5B2FC4}"/>
    <cellStyle name="Normal 6 3 3_Exist Trunk Assets - Ferry" xfId="9361" xr:uid="{8075B24F-9103-4FA3-8135-8C63F13DF59B}"/>
    <cellStyle name="Normal 6 3 4" xfId="6057" xr:uid="{F9E5163C-987F-4D5C-BD87-A97905CADA57}"/>
    <cellStyle name="Normal 6 3_Exist Trunk Assets - Ferry" xfId="9359" xr:uid="{7937F606-E998-4ADF-8915-F41CA67C694E}"/>
    <cellStyle name="Normal 6 4" xfId="2343" xr:uid="{CEFC6B31-B68B-4D72-83BF-18AC3C6ED745}"/>
    <cellStyle name="Normal 6 4 2" xfId="6058" xr:uid="{5F9766BF-0D00-494E-ADB7-1ABBC2698B31}"/>
    <cellStyle name="Normal 6 4 3" xfId="6059" xr:uid="{7B520DB1-938B-4EC8-97F6-0EBEE6D6B5AB}"/>
    <cellStyle name="Normal 6 4_Exist Trunk Assets - Ferry" xfId="9362" xr:uid="{D09BCAD9-9F6D-47CB-9940-7ED9B6261983}"/>
    <cellStyle name="Normal 6 5" xfId="6060" xr:uid="{543EBCE2-1306-44E4-BA15-F33FADCB149D}"/>
    <cellStyle name="Normal 6 5 2" xfId="6061" xr:uid="{84A4C66B-2BBD-41F4-B725-8A5EFDB2EED9}"/>
    <cellStyle name="Normal 6 5_Exist Trunk Assets - Ferry" xfId="9363" xr:uid="{05D4F6DD-90CC-4A2A-A2B2-7B7068066C7B}"/>
    <cellStyle name="Normal 6 6" xfId="6062" xr:uid="{2306204C-BBC5-4E9E-9B7D-0AE0914C1A9E}"/>
    <cellStyle name="Normal 6 6 2" xfId="6063" xr:uid="{8019FB58-9166-4054-9B7F-C33EDF475F32}"/>
    <cellStyle name="Normal 6 6_Exist Trunk Assets - Ferry" xfId="9364" xr:uid="{0A77CD4D-2903-4420-BD80-62FFF503D504}"/>
    <cellStyle name="Normal 6 7" xfId="6064" xr:uid="{DCD0CC3F-C4C3-4101-B23B-187742896BA7}"/>
    <cellStyle name="Normal 6_Exist Trunk Assets - Ferry" xfId="9352" xr:uid="{0EBBF6B8-F266-4142-9A9E-B9F54F5158A4}"/>
    <cellStyle name="Normal 60" xfId="11" xr:uid="{A26A9346-92D5-49EB-9579-4598716198C8}"/>
    <cellStyle name="Normal 60 2" xfId="6065" xr:uid="{E6CAB66C-E7BD-4D96-A08E-876079E4BFEB}"/>
    <cellStyle name="Normal 60 3" xfId="6066" xr:uid="{8C9E6480-E5A7-4F19-948B-2BD6E935A58D}"/>
    <cellStyle name="Normal 60_Exist Trunk Assets - Ferry" xfId="9365" xr:uid="{B866FBD5-FF85-47AA-9B9C-5E53D38DF4CF}"/>
    <cellStyle name="Normal 61" xfId="12" xr:uid="{B1B83F54-EC4E-4DC0-AEA8-76B9C0787B6A}"/>
    <cellStyle name="Normal 61 2" xfId="6067" xr:uid="{C92C158F-56E4-41F1-9B67-A0DB0126D18A}"/>
    <cellStyle name="Normal 61 3" xfId="6068" xr:uid="{74C0B8FE-91B7-494D-8B61-A61B14CFEAE7}"/>
    <cellStyle name="Normal 61_Exist Trunk Assets - Ferry" xfId="9366" xr:uid="{F8D0D4FE-396B-46C7-9C3F-9259D3E34EB3}"/>
    <cellStyle name="Normal 62" xfId="1562" xr:uid="{F275D381-AFC5-42A0-BCCA-920A40885BAC}"/>
    <cellStyle name="Normal 62 2" xfId="6069" xr:uid="{EB8F40DC-E8FE-44EC-B06A-D21B8A45699C}"/>
    <cellStyle name="Normal 62 3" xfId="6070" xr:uid="{A508018D-FD2E-4F1F-BC7B-472464947DFA}"/>
    <cellStyle name="Normal 62_Exist Trunk Assets - Ferry" xfId="9367" xr:uid="{3E97734B-803D-44F0-8196-1B9CFA1B2F4F}"/>
    <cellStyle name="Normal 63" xfId="6071" xr:uid="{197C8FC3-A9FF-44C6-A5ED-673BDE191517}"/>
    <cellStyle name="Normal 63 2" xfId="6072" xr:uid="{5FE502D1-640B-4FF3-A066-D78C40383B59}"/>
    <cellStyle name="Normal 63_Exist Trunk Assets - Ferry" xfId="9368" xr:uid="{45BF859B-0E4F-442B-BC4D-8BDA0AF8CCC9}"/>
    <cellStyle name="Normal 64" xfId="1563" xr:uid="{AD6ACA8F-16D5-4CFC-9F48-3A9672BBB4BA}"/>
    <cellStyle name="Normal 64 2" xfId="6073" xr:uid="{23A9B264-0F1C-4699-A732-9F2DDB37BFB7}"/>
    <cellStyle name="Normal 64 3" xfId="6074" xr:uid="{FE868742-5994-4412-82F4-96E1C93B887D}"/>
    <cellStyle name="Normal 64_Exist Trunk Assets - Ferry" xfId="9369" xr:uid="{593B8B65-02E4-4498-9917-232FBA9D05DA}"/>
    <cellStyle name="Normal 65" xfId="1564" xr:uid="{23439476-7F92-4741-8B29-0701EA0C5CCF}"/>
    <cellStyle name="Normal 65 2" xfId="6075" xr:uid="{A4A5C9EF-729F-4D8E-A243-9F17E2BF3C54}"/>
    <cellStyle name="Normal 65 3" xfId="6076" xr:uid="{9B5E5553-2CF2-4774-9529-7E6749DB13B1}"/>
    <cellStyle name="Normal 65_Exist Trunk Assets - Ferry" xfId="9370" xr:uid="{F29EB7AA-952C-437E-BE92-D9DB316065B2}"/>
    <cellStyle name="Normal 66" xfId="1565" xr:uid="{366ECDFC-FA0A-413B-AC2D-B5277F3BDA72}"/>
    <cellStyle name="Normal 66 2" xfId="6077" xr:uid="{882D4A28-32C4-4436-B175-4455C8379FDF}"/>
    <cellStyle name="Normal 66 3" xfId="6078" xr:uid="{95B32F7D-1935-4C77-AB47-368A8E2CE63E}"/>
    <cellStyle name="Normal 66_Exist Trunk Assets - Ferry" xfId="9371" xr:uid="{7D57C27D-C33F-48D3-B443-084FF82504E1}"/>
    <cellStyle name="Normal 67" xfId="1566" xr:uid="{C30CA346-26D7-49F3-95D4-AACE0F2E0AA3}"/>
    <cellStyle name="Normal 67 2" xfId="6079" xr:uid="{771457A5-DDBD-4404-AD83-43524A7C64B8}"/>
    <cellStyle name="Normal 67 3" xfId="6080" xr:uid="{48DB1C27-40C8-46E0-8B4E-A66071890DA0}"/>
    <cellStyle name="Normal 67_Exist Trunk Assets - Ferry" xfId="9372" xr:uid="{9FB97E17-8BC4-42AD-9E7C-CB55CED45E1D}"/>
    <cellStyle name="Normal 68" xfId="1567" xr:uid="{FFEB6893-27BC-409D-8418-51E68E5C4E1C}"/>
    <cellStyle name="Normal 68 2" xfId="6081" xr:uid="{DA910D7E-F04E-437A-B80E-58129D604D54}"/>
    <cellStyle name="Normal 68 3" xfId="6082" xr:uid="{0A965331-F231-4AB2-A554-3B2852151258}"/>
    <cellStyle name="Normal 68_Exist Trunk Assets - Ferry" xfId="9373" xr:uid="{7A5B910B-3E62-450C-AFB4-594F78E26DB6}"/>
    <cellStyle name="Normal 69" xfId="6083" xr:uid="{BADD1FB8-3D85-44A9-A973-38BFAC62E65F}"/>
    <cellStyle name="Normal 69 2" xfId="6084" xr:uid="{9AD0ED2B-F83F-4068-9030-F22ADADF31CF}"/>
    <cellStyle name="Normal 69_Exist Trunk Assets - Ferry" xfId="9374" xr:uid="{9D32D27E-B17C-4E36-A771-D94297C708BC}"/>
    <cellStyle name="Normal 7" xfId="1568" xr:uid="{6BAB4B39-182F-4481-9C1E-AEF31B6ED647}"/>
    <cellStyle name="Normal 7 2" xfId="1569" xr:uid="{8EBC258A-AB6D-4164-A774-052889BB6EFC}"/>
    <cellStyle name="Normal 7 2 2" xfId="2418" xr:uid="{C5F6D9B2-E6AB-41BF-A997-42560D65D58B}"/>
    <cellStyle name="Normal 7 2 2 2" xfId="6085" xr:uid="{288C6646-5E12-4FE0-8322-1F06461D98B6}"/>
    <cellStyle name="Normal 7 2 2 2 2" xfId="6086" xr:uid="{AF726633-EBC9-42DB-8440-42681E0BD3B6}"/>
    <cellStyle name="Normal 7 2 2 2_Exist Trunk Assets - Ferry" xfId="9378" xr:uid="{58E235C1-0EB2-452F-9E7B-3B1BDD0EF1C2}"/>
    <cellStyle name="Normal 7 2 2 3" xfId="6087" xr:uid="{815A9579-F8DE-423C-890E-4F3AE6A8E49B}"/>
    <cellStyle name="Normal 7 2 2 3 2" xfId="6088" xr:uid="{84CBF79F-3215-45B6-83FE-878824B14F07}"/>
    <cellStyle name="Normal 7 2 2 3_Exist Trunk Assets - Ferry" xfId="9379" xr:uid="{B2EBC1D0-5150-4FA3-AFCE-A0C210AC3E23}"/>
    <cellStyle name="Normal 7 2 2 4" xfId="6089" xr:uid="{74F4E6EF-DDF0-4EDF-95A0-3383609BD184}"/>
    <cellStyle name="Normal 7 2 2_Exist Trunk Assets - Ferry" xfId="9377" xr:uid="{65C277BF-A7F0-41E3-BBBD-2DF6F90F882B}"/>
    <cellStyle name="Normal 7 2 3" xfId="2417" xr:uid="{8290B190-1296-4B0E-920D-F580E3710747}"/>
    <cellStyle name="Normal 7 2 3 2" xfId="6090" xr:uid="{4419A553-794A-4464-97F5-73EB86B923E9}"/>
    <cellStyle name="Normal 7 2 3 3" xfId="6091" xr:uid="{275B54C2-FD47-4426-9DE0-1C13A9ACBFAC}"/>
    <cellStyle name="Normal 7 2 3_Exist Trunk Assets - Ferry" xfId="9380" xr:uid="{F60B58D3-7775-47F2-8893-5DE2F70AEFA2}"/>
    <cellStyle name="Normal 7 2 4" xfId="6092" xr:uid="{FAFC3827-CD96-4FEB-B7FA-DFEA50435E49}"/>
    <cellStyle name="Normal 7 2 4 2" xfId="6093" xr:uid="{49C15F24-3987-4F5D-B637-F4CEC5E5E00D}"/>
    <cellStyle name="Normal 7 2 4_Exist Trunk Assets - Ferry" xfId="9381" xr:uid="{592DD8DE-0343-49ED-A244-D1609CA81153}"/>
    <cellStyle name="Normal 7 2 5" xfId="6094" xr:uid="{88456CC1-5AF8-42FF-AB24-38318529F124}"/>
    <cellStyle name="Normal 7 2 5 2" xfId="6095" xr:uid="{9600A18E-10BC-4FBC-8F12-A64AD0134324}"/>
    <cellStyle name="Normal 7 2 5_Exist Trunk Assets - Ferry" xfId="9382" xr:uid="{4C7B4AB7-318E-448D-B3ED-59610F5E934A}"/>
    <cellStyle name="Normal 7 2 6" xfId="6096" xr:uid="{ED185817-76E2-48E6-9F4D-D3FE95BFF626}"/>
    <cellStyle name="Normal 7 2_Exist Trunk Assets - Ferry" xfId="9376" xr:uid="{BE91BC66-A3C4-465C-B5AF-5FBAF0ECD19F}"/>
    <cellStyle name="Normal 7 3" xfId="2166" xr:uid="{CB03C76D-2545-462A-8D39-768DD6798401}"/>
    <cellStyle name="Normal 7 3 2" xfId="2419" xr:uid="{E4F48452-59BB-433C-BF19-612981844EDF}"/>
    <cellStyle name="Normal 7 3 2 2" xfId="6097" xr:uid="{8CB29A7C-C8FE-4CD5-A698-E852B36040C0}"/>
    <cellStyle name="Normal 7 3 2 2 2" xfId="6098" xr:uid="{DFB7D682-55B0-47EE-8DE3-AA419FF14FEC}"/>
    <cellStyle name="Normal 7 3 2 2_Exist Trunk Assets - Ferry" xfId="9385" xr:uid="{6E21D5A0-6A8A-467C-8C0B-D609FC1FCB69}"/>
    <cellStyle name="Normal 7 3 2 3" xfId="6099" xr:uid="{77BA5A86-25A4-4AFE-9B34-9CFEA49D2A60}"/>
    <cellStyle name="Normal 7 3 2 3 2" xfId="6100" xr:uid="{E3F48C17-F8F3-462A-BC4C-93300675C64E}"/>
    <cellStyle name="Normal 7 3 2 3_Exist Trunk Assets - Ferry" xfId="9386" xr:uid="{F87DCA87-1DE7-4ABF-B63B-608846B972EF}"/>
    <cellStyle name="Normal 7 3 2 4" xfId="6101" xr:uid="{68ABB41F-9450-44FB-9249-9F92C5312F59}"/>
    <cellStyle name="Normal 7 3 2_Exist Trunk Assets - Ferry" xfId="9384" xr:uid="{B61659B2-4FAA-4E01-B0E8-AC744334650B}"/>
    <cellStyle name="Normal 7 3 3" xfId="6102" xr:uid="{8A7EEEE3-1650-4FE2-9D48-1DF9BDCC4BE1}"/>
    <cellStyle name="Normal 7 3 4" xfId="6103" xr:uid="{43198187-5CB5-4304-8144-00316F76AD29}"/>
    <cellStyle name="Normal 7 3 5" xfId="6104" xr:uid="{BD5CD902-B29D-4005-A0A1-635F8C770977}"/>
    <cellStyle name="Normal 7 3_Exist Trunk Assets - Ferry" xfId="9383" xr:uid="{79A9AB59-7582-46B1-93D3-697F649D6D43}"/>
    <cellStyle name="Normal 7 4" xfId="2514" xr:uid="{2634BF66-A11A-483F-85C9-7DE029309F54}"/>
    <cellStyle name="Normal 7 4 2" xfId="6105" xr:uid="{39E551A3-62D0-48AF-8E76-6ECE9DE2F189}"/>
    <cellStyle name="Normal 7 4 2 2" xfId="6106" xr:uid="{9AAB64EF-9CD4-4E74-9708-F24A93CB60E2}"/>
    <cellStyle name="Normal 7 4 2_Exist Trunk Assets - Ferry" xfId="9388" xr:uid="{3C4C8520-1BC4-4A19-A66B-2FAA8526997A}"/>
    <cellStyle name="Normal 7 4 3" xfId="6107" xr:uid="{4F57C5C7-DA70-4D14-B8CF-BAC9089F3AB9}"/>
    <cellStyle name="Normal 7 4 4" xfId="6108" xr:uid="{F0BDAAAC-6FA9-45CE-858D-483F16036680}"/>
    <cellStyle name="Normal 7 4 5" xfId="6109" xr:uid="{2EE61DAE-B5A3-427B-AF97-467B9EDDBAC8}"/>
    <cellStyle name="Normal 7 4_Exist Trunk Assets - Ferry" xfId="9387" xr:uid="{FB8FAA0F-71DB-455A-9DFC-85DD28FBCC07}"/>
    <cellStyle name="Normal 7 5" xfId="6110" xr:uid="{57B79DBA-4410-46A4-98B7-3C8F696DD881}"/>
    <cellStyle name="Normal 7 5 2" xfId="6111" xr:uid="{B2B8D209-79AD-4504-990D-2BF2B1D951FD}"/>
    <cellStyle name="Normal 7 5_Exist Trunk Assets - Ferry" xfId="9389" xr:uid="{9A20D102-2C3F-47AF-819D-4E173DE62ED3}"/>
    <cellStyle name="Normal 7 6" xfId="6112" xr:uid="{6447FA86-0BEE-417F-B933-FAD99505C05A}"/>
    <cellStyle name="Normal 7_Exist Trunk Assets - Ferry" xfId="9375" xr:uid="{A8DD368F-27EE-479D-B458-21C6015D7BD8}"/>
    <cellStyle name="Normal 70" xfId="6113" xr:uid="{D15E695E-51A1-44CB-95DD-8BA707B06557}"/>
    <cellStyle name="Normal 70 2" xfId="6114" xr:uid="{74F1F46C-A3D5-4E13-B94D-B369AE1FA529}"/>
    <cellStyle name="Normal 70_Exist Trunk Assets - Ferry" xfId="9390" xr:uid="{1025E6DC-3EDF-4A80-BE89-929B65AA9E1C}"/>
    <cellStyle name="Normal 71" xfId="6115" xr:uid="{B62FEF9C-AF47-4A1D-A324-6140A96E5897}"/>
    <cellStyle name="Normal 71 2" xfId="6116" xr:uid="{5163522F-DF66-4213-B6A9-B581E40D0716}"/>
    <cellStyle name="Normal 71_Exist Trunk Assets - Ferry" xfId="9391" xr:uid="{F6AF3A16-8F96-4437-904A-9FDF7BABF902}"/>
    <cellStyle name="Normal 72" xfId="6117" xr:uid="{E6E73E86-828A-4021-B3C7-A17DFEA9B46C}"/>
    <cellStyle name="Normal 72 2" xfId="6118" xr:uid="{9B3EB57D-4A0E-45FD-99A6-0E9454C1DEA4}"/>
    <cellStyle name="Normal 72_Exist Trunk Assets - Ferry" xfId="9392" xr:uid="{02012975-4950-4508-B3A6-9CFB1660244E}"/>
    <cellStyle name="Normal 73" xfId="6119" xr:uid="{23585490-2FEA-41A7-B87B-F837A8350672}"/>
    <cellStyle name="Normal 73 2" xfId="6120" xr:uid="{EDDAB285-FF1F-4695-80FD-E1D6EA367C94}"/>
    <cellStyle name="Normal 73_Exist Trunk Assets - Ferry" xfId="9393" xr:uid="{2DC5DC89-E7F6-4B31-88D3-D7FECB08B1D8}"/>
    <cellStyle name="Normal 74" xfId="6121" xr:uid="{FC67F775-0B60-4BBF-9DD9-41C41A06F63C}"/>
    <cellStyle name="Normal 74 2" xfId="6122" xr:uid="{AEB78BA7-CC63-41DD-B513-805BD456848B}"/>
    <cellStyle name="Normal 74_Exist Trunk Assets - Ferry" xfId="9394" xr:uid="{BF0FA277-0F17-433D-862B-8CB0983BA517}"/>
    <cellStyle name="Normal 75" xfId="6123" xr:uid="{58858C9A-6916-4A9D-AB37-D6CC7D7816AD}"/>
    <cellStyle name="Normal 75 2" xfId="6124" xr:uid="{ECCE4574-45AB-4788-8A23-F55C8626F2EC}"/>
    <cellStyle name="Normal 75_Exist Trunk Assets - Ferry" xfId="9395" xr:uid="{93FA5F9F-F697-4C91-98DD-F58A898DFE5A}"/>
    <cellStyle name="Normal 76" xfId="6125" xr:uid="{AD825C81-A057-447F-B087-4568C74EF574}"/>
    <cellStyle name="Normal 76 2" xfId="6126" xr:uid="{560EFCCF-64BF-4958-BAF7-8142C8F7F03F}"/>
    <cellStyle name="Normal 76_Exist Trunk Assets - Ferry" xfId="9396" xr:uid="{5C8ED77B-44DB-400D-9BAB-3CCAFC99C5BE}"/>
    <cellStyle name="Normal 77" xfId="6127" xr:uid="{B57230A5-E3B6-42AC-B766-A494B275FF9A}"/>
    <cellStyle name="Normal 77 2" xfId="6128" xr:uid="{441AD9D9-A24C-4AD2-98F8-2DB8ECA07655}"/>
    <cellStyle name="Normal 77_Exist Trunk Assets - Ferry" xfId="9397" xr:uid="{2E368C3C-1C17-4E95-8905-CCC813A5DD4A}"/>
    <cellStyle name="Normal 78" xfId="6129" xr:uid="{55856A84-BDEC-4F2E-AD9A-EFC0D726AB24}"/>
    <cellStyle name="Normal 78 2" xfId="6130" xr:uid="{9C2E9308-65EE-4152-BA58-B6F5BAD3FA12}"/>
    <cellStyle name="Normal 78 3" xfId="6131" xr:uid="{6D16D855-B13A-4E4A-ABD9-C4466878FA26}"/>
    <cellStyle name="Normal 78_Exist Trunk Assets - Ferry" xfId="9398" xr:uid="{E92461C1-9E94-4153-8008-57559E5E45E2}"/>
    <cellStyle name="Normal 79" xfId="6132" xr:uid="{D8D560D9-9FCB-4960-B2FC-361F9FC6B3F4}"/>
    <cellStyle name="Normal 79 2" xfId="6133" xr:uid="{FFB084A1-401B-4090-B4EF-B2C31E6FB616}"/>
    <cellStyle name="Normal 79_Exist Trunk Assets - Ferry" xfId="9399" xr:uid="{E88BB478-5ABE-440B-8C8F-DA5BB349D546}"/>
    <cellStyle name="Normal 8" xfId="1570" xr:uid="{D76D7B10-99F4-401F-9BD8-922995836F11}"/>
    <cellStyle name="Normal 8 2" xfId="1571" xr:uid="{C48CE481-FEAA-4976-875C-DC1FC6C8BC5B}"/>
    <cellStyle name="Normal 8 2 2" xfId="6134" xr:uid="{BB3E25EE-6228-43DE-81ED-E07988A16FFA}"/>
    <cellStyle name="Normal 8 2 2 2" xfId="6135" xr:uid="{A35FB5D9-07D6-4A27-A1DF-1423D3E159A9}"/>
    <cellStyle name="Normal 8 2 2_Exist Trunk Assets - Ferry" xfId="9402" xr:uid="{18897F13-0241-4A6C-9230-10E8ED5DFD1C}"/>
    <cellStyle name="Normal 8 2 3" xfId="6136" xr:uid="{056FC64E-720B-4BF2-98B2-3A7086EEBC01}"/>
    <cellStyle name="Normal 8 2 3 2" xfId="6137" xr:uid="{988821DB-E39A-4B6E-B9C9-61FE9F0C5D7B}"/>
    <cellStyle name="Normal 8 2 3_Exist Trunk Assets - Ferry" xfId="9403" xr:uid="{4CA92090-863D-4144-B71D-E35029909A8C}"/>
    <cellStyle name="Normal 8 2 4" xfId="6138" xr:uid="{6AE16C4B-5BE0-46CE-81E4-2668A0E8B4F7}"/>
    <cellStyle name="Normal 8 2_Exist Trunk Assets - Ferry" xfId="9401" xr:uid="{674A5D37-4334-4AE3-BA93-C9D1B3A3B089}"/>
    <cellStyle name="Normal 8 3" xfId="2344" xr:uid="{A8728777-FC47-437C-BADF-752E800BCD9F}"/>
    <cellStyle name="Normal 8 3 2" xfId="2420" xr:uid="{6CEAC651-21B1-4C5E-BF87-D5C6F649DD24}"/>
    <cellStyle name="Normal 8 3 2 2" xfId="6139" xr:uid="{AA72F94F-6B4C-4334-B779-1AFEE1DEAEB5}"/>
    <cellStyle name="Normal 8 3 2 2 2" xfId="6140" xr:uid="{D9AA16E6-FF4D-4F94-BA0D-C2A546997F3A}"/>
    <cellStyle name="Normal 8 3 2 2_Exist Trunk Assets - Ferry" xfId="9406" xr:uid="{B4A9C160-BCF6-4177-8244-FC83AF792428}"/>
    <cellStyle name="Normal 8 3 2 3" xfId="6141" xr:uid="{04BC02E1-AFA8-42DF-B7E3-E06322B14CAA}"/>
    <cellStyle name="Normal 8 3 2 3 2" xfId="6142" xr:uid="{4A1723BC-E384-439E-AAAA-E01DD1E80E84}"/>
    <cellStyle name="Normal 8 3 2 3_Exist Trunk Assets - Ferry" xfId="9407" xr:uid="{17589139-1142-4F57-AFD4-693C48AEBFBF}"/>
    <cellStyle name="Normal 8 3 2 4" xfId="6143" xr:uid="{6989AF63-5355-4E5A-9A10-43B8783A099B}"/>
    <cellStyle name="Normal 8 3 2_Exist Trunk Assets - Ferry" xfId="9405" xr:uid="{C0C3F45C-E110-4FE6-B194-1157529246BF}"/>
    <cellStyle name="Normal 8 3 3" xfId="6144" xr:uid="{37ADA992-D117-427C-A4D1-66E79E461239}"/>
    <cellStyle name="Normal 8 3 4" xfId="6145" xr:uid="{90A95C53-2331-4070-A9FF-7FAEEB9526B1}"/>
    <cellStyle name="Normal 8 3_Exist Trunk Assets - Ferry" xfId="9404" xr:uid="{2DAEF485-2F28-4A6E-8E71-98DBFF3EC8A7}"/>
    <cellStyle name="Normal 8 4" xfId="6146" xr:uid="{E981AE59-4817-4383-9F37-3D81BDEC545B}"/>
    <cellStyle name="Normal 8 4 2" xfId="6147" xr:uid="{5F832554-152C-40C8-8DF9-89F5C1B45FD2}"/>
    <cellStyle name="Normal 8 4_Exist Trunk Assets - Ferry" xfId="9408" xr:uid="{42656744-1AFD-41D5-B786-7245D72116E7}"/>
    <cellStyle name="Normal 8 5" xfId="6148" xr:uid="{60776537-B56C-4C50-B7B1-50F5E74C553D}"/>
    <cellStyle name="Normal 8 5 2" xfId="6149" xr:uid="{DDC9B40E-FD24-448B-8A44-0772C7E49489}"/>
    <cellStyle name="Normal 8 5_Exist Trunk Assets - Ferry" xfId="9409" xr:uid="{EDF6D97C-2B0C-4DBD-A8CE-B7D537A7F466}"/>
    <cellStyle name="Normal 8 6" xfId="6150" xr:uid="{D3F3C96E-EA26-428F-9D4A-28E6552D3502}"/>
    <cellStyle name="Normal 8_Exist Trunk Assets - Ferry" xfId="9400" xr:uid="{F08F6A2C-57B5-4AB3-8ED3-45823A5C8B7C}"/>
    <cellStyle name="Normal 80" xfId="6151" xr:uid="{D1428344-E097-44A3-9B27-E9DD1913FEDF}"/>
    <cellStyle name="Normal 80 2" xfId="6152" xr:uid="{F9D61E2F-5FA1-4782-81A3-6871566522F2}"/>
    <cellStyle name="Normal 80_Exist Trunk Assets - Ferry" xfId="9410" xr:uid="{F6BA1927-AA08-41DB-8014-164FE299FDFC}"/>
    <cellStyle name="Normal 81" xfId="6153" xr:uid="{01382907-3C4C-4F90-8472-5BADCD0AD668}"/>
    <cellStyle name="Normal 81 2" xfId="6154" xr:uid="{23512BB0-BFDE-4C13-AB0C-83E011A7A621}"/>
    <cellStyle name="Normal 81_Exist Trunk Assets - Ferry" xfId="9411" xr:uid="{7A0AC63C-4884-4D88-95FC-2B4E0F5221B3}"/>
    <cellStyle name="Normal 82" xfId="6155" xr:uid="{DEFD08BC-A9D1-455A-8334-14ADC96D0AAD}"/>
    <cellStyle name="Normal 82 2" xfId="6156" xr:uid="{6D11D722-0CEC-4A63-ABB1-023EF85EA91E}"/>
    <cellStyle name="Normal 82_Exist Trunk Assets - Ferry" xfId="9412" xr:uid="{4C1B3426-2BF2-49CE-84B0-90DC9D1320B2}"/>
    <cellStyle name="Normal 83" xfId="6157" xr:uid="{A23A09E1-2A6E-4F15-8061-0FDF01A91617}"/>
    <cellStyle name="Normal 83 2" xfId="6158" xr:uid="{628FFFB1-F086-4111-BCCC-F135B783D80E}"/>
    <cellStyle name="Normal 83_Exist Trunk Assets - Ferry" xfId="9413" xr:uid="{D303EECF-FBD0-48F0-AF57-EF2FE990D7C2}"/>
    <cellStyle name="Normal 84" xfId="6159" xr:uid="{1825FAFB-CD53-40DB-8BC4-A0A91D826EB5}"/>
    <cellStyle name="Normal 84 2" xfId="6160" xr:uid="{052AB03E-BC46-4D61-B560-70B7B0B32F67}"/>
    <cellStyle name="Normal 84_Exist Trunk Assets - Ferry" xfId="9414" xr:uid="{7A7AF579-3043-4660-82CA-5F629F67BE20}"/>
    <cellStyle name="Normal 85" xfId="6161" xr:uid="{E0A172EA-35D5-4184-931F-31439D972984}"/>
    <cellStyle name="Normal 85 2" xfId="6162" xr:uid="{B15DC263-7156-4B82-AD2B-BA90332C5223}"/>
    <cellStyle name="Normal 85_Exist Trunk Assets - Ferry" xfId="9415" xr:uid="{EC3F881E-C672-4259-B81A-329CC816E45A}"/>
    <cellStyle name="Normal 86" xfId="6163" xr:uid="{B1E0E7C1-BA6F-43A2-9907-D763F747C44E}"/>
    <cellStyle name="Normal 86 2" xfId="6164" xr:uid="{7E8DDF16-9F24-4AEC-9F80-369BF8139C82}"/>
    <cellStyle name="Normal 86_Exist Trunk Assets - Ferry" xfId="9416" xr:uid="{C58BC2FC-A1DE-4DD8-A9FB-6C3675FB1F94}"/>
    <cellStyle name="Normal 87" xfId="6165" xr:uid="{BC37B5F8-AB4B-434E-AF88-82069AEB9F57}"/>
    <cellStyle name="Normal 87 2" xfId="6166" xr:uid="{B0D1DFC2-A5E6-4606-B08D-11F205C15E5A}"/>
    <cellStyle name="Normal 87_Exist Trunk Assets - Ferry" xfId="9417" xr:uid="{28128E9D-F00F-4C08-A55C-A5CBA8C77958}"/>
    <cellStyle name="Normal 88" xfId="6167" xr:uid="{BBF5D6C0-1C9E-474F-8695-11CB1013E2CB}"/>
    <cellStyle name="Normal 88 2" xfId="6168" xr:uid="{379B8694-B427-4759-9F4A-18D35228DFA2}"/>
    <cellStyle name="Normal 88_Exist Trunk Assets - Ferry" xfId="9418" xr:uid="{645BBFD9-C5E0-42C4-A661-D2ACE7753BB6}"/>
    <cellStyle name="Normal 89" xfId="6169" xr:uid="{FA80F95F-6DFB-419C-9F68-572BE8BE3B4C}"/>
    <cellStyle name="Normal 89 2" xfId="6170" xr:uid="{37840213-DD96-40E1-BF0D-5D6E72EDCB15}"/>
    <cellStyle name="Normal 89_Exist Trunk Assets - Ferry" xfId="9419" xr:uid="{D2600023-C353-4D33-BCF5-1A09C5F2D8F9}"/>
    <cellStyle name="Normal 9" xfId="1572" xr:uid="{634B0C7E-4D02-4DA1-ABED-1A6339643BF7}"/>
    <cellStyle name="Normal 9 2" xfId="1573" xr:uid="{3FDE69D8-D53C-4381-B6AB-AA9CF2FAFBC6}"/>
    <cellStyle name="Normal 9 2 2" xfId="2422" xr:uid="{85734088-4E5E-41A0-B83D-0360A28337A9}"/>
    <cellStyle name="Normal 9 2 2 2" xfId="6171" xr:uid="{1EBFB98F-63E5-477C-9811-E57AD637AF93}"/>
    <cellStyle name="Normal 9 2 2 2 2" xfId="6172" xr:uid="{CDCB00DE-BAA0-4A49-966F-4559B7601DF8}"/>
    <cellStyle name="Normal 9 2 2 2_Exist Trunk Assets - Ferry" xfId="9423" xr:uid="{6C39D4C2-1992-4582-BD0F-638623D4BDCB}"/>
    <cellStyle name="Normal 9 2 2 3" xfId="6173" xr:uid="{F70EDB72-8AD2-468E-BFB4-BEA2841FA8ED}"/>
    <cellStyle name="Normal 9 2 2 3 2" xfId="6174" xr:uid="{02124542-7FDF-4319-8B96-FB8CB63E36AD}"/>
    <cellStyle name="Normal 9 2 2 3_Exist Trunk Assets - Ferry" xfId="9424" xr:uid="{99C46E85-4FC7-463B-8629-77ABFA81F8B7}"/>
    <cellStyle name="Normal 9 2 2 4" xfId="6175" xr:uid="{80035E50-C537-47E5-B09F-68240AD401EA}"/>
    <cellStyle name="Normal 9 2 2_Exist Trunk Assets - Ferry" xfId="9422" xr:uid="{F1F480FE-C1A6-4F16-AA03-69181A5963A8}"/>
    <cellStyle name="Normal 9 2 3" xfId="2421" xr:uid="{00A3905C-AA95-4926-AA29-8D0FFC1DB256}"/>
    <cellStyle name="Normal 9 2 3 2" xfId="6176" xr:uid="{00F7F571-0901-4B0E-8B3C-7D5DCA9205DF}"/>
    <cellStyle name="Normal 9 2 3 3" xfId="6177" xr:uid="{AB023CC6-1D42-41AA-8AB8-4C29906DEA22}"/>
    <cellStyle name="Normal 9 2 3_Exist Trunk Assets - Ferry" xfId="9425" xr:uid="{1596AFD8-BA53-4533-8D25-EC20636BC339}"/>
    <cellStyle name="Normal 9 2 4" xfId="6178" xr:uid="{877EC21D-C6A8-4DB5-9C8F-C46CCD473F07}"/>
    <cellStyle name="Normal 9 2 4 2" xfId="6179" xr:uid="{719FD7F0-C18A-492D-A47B-D8D1D471BCC8}"/>
    <cellStyle name="Normal 9 2 4_Exist Trunk Assets - Ferry" xfId="9426" xr:uid="{01E91317-C0C8-4E1D-BCF1-AF0A2F6C21B1}"/>
    <cellStyle name="Normal 9 2 5" xfId="6180" xr:uid="{76F8F9B1-2A26-481F-ADA1-4235840E774D}"/>
    <cellStyle name="Normal 9 2 5 2" xfId="6181" xr:uid="{C8197827-7FE4-42FA-8A1E-9B82140CB049}"/>
    <cellStyle name="Normal 9 2 5_Exist Trunk Assets - Ferry" xfId="9427" xr:uid="{DC155735-B507-49F5-9B72-92F04172B639}"/>
    <cellStyle name="Normal 9 2 6" xfId="6182" xr:uid="{CE210AE5-42B1-4D10-9F7C-3FC1552352AB}"/>
    <cellStyle name="Normal 9 2_Exist Trunk Assets - Ferry" xfId="9421" xr:uid="{095A0941-D218-4B3D-8CE0-B66BEF25A263}"/>
    <cellStyle name="Normal 9 3" xfId="2342" xr:uid="{63A402A6-BAFE-4CC9-A5F3-4CED1EA7B6BA}"/>
    <cellStyle name="Normal 9 3 2" xfId="2423" xr:uid="{CA81761D-C629-45C3-97AC-00A12FC16EE9}"/>
    <cellStyle name="Normal 9 3 2 2" xfId="6183" xr:uid="{0A729DB5-8310-461E-96C0-426B691CF065}"/>
    <cellStyle name="Normal 9 3 2 2 2" xfId="6184" xr:uid="{57D62FF8-5763-4857-BAEB-5C51DF41E83C}"/>
    <cellStyle name="Normal 9 3 2 2_Exist Trunk Assets - Ferry" xfId="9430" xr:uid="{757ED9F3-EBBF-4916-8D06-D49033D8FB8F}"/>
    <cellStyle name="Normal 9 3 2 3" xfId="6185" xr:uid="{8763753B-D58D-4588-82EF-6D900861F59B}"/>
    <cellStyle name="Normal 9 3 2 3 2" xfId="6186" xr:uid="{DFD35E00-942E-4A5A-B17E-222EA271ACE8}"/>
    <cellStyle name="Normal 9 3 2 3_Exist Trunk Assets - Ferry" xfId="9431" xr:uid="{884FB5F2-3061-4BB5-BB45-B20454AD298A}"/>
    <cellStyle name="Normal 9 3 2 4" xfId="6187" xr:uid="{D30141BB-E101-4A8A-BA44-1DFC8DAE40DC}"/>
    <cellStyle name="Normal 9 3 2_Exist Trunk Assets - Ferry" xfId="9429" xr:uid="{62164665-6265-4221-8E16-5634D321F69B}"/>
    <cellStyle name="Normal 9 3 3" xfId="6188" xr:uid="{7C92B792-B5C4-4731-A741-2C71644AA5DD}"/>
    <cellStyle name="Normal 9 3 4" xfId="6189" xr:uid="{C6198122-6338-4416-B715-FADB29B5B3C4}"/>
    <cellStyle name="Normal 9 3 5" xfId="6190" xr:uid="{B7C39991-0392-43E2-BCBE-9AB9479868CB}"/>
    <cellStyle name="Normal 9 3_Exist Trunk Assets - Ferry" xfId="9428" xr:uid="{CA5E110E-9E98-4477-9B79-297F35AD281D}"/>
    <cellStyle name="Normal 9 4" xfId="2561" xr:uid="{0FE1D810-89C2-40E3-9A1C-C08FEB1D95BD}"/>
    <cellStyle name="Normal 9 4 2" xfId="6191" xr:uid="{7F263971-0F60-4A56-AE74-893FB2284D3C}"/>
    <cellStyle name="Normal 9 4 2 2" xfId="6192" xr:uid="{EB876D71-C253-426C-A3DA-F56E3A3F64D7}"/>
    <cellStyle name="Normal 9 4 2_Exist Trunk Assets - Ferry" xfId="9433" xr:uid="{7989B0D3-777F-4C8D-8D00-9F4A3149F72C}"/>
    <cellStyle name="Normal 9 4 3" xfId="6193" xr:uid="{E1B25A35-154E-43C0-B20C-7D3DA448362D}"/>
    <cellStyle name="Normal 9 4_Exist Trunk Assets - Ferry" xfId="9432" xr:uid="{F5A78F21-99F2-47CB-9F13-722A7D6CB96F}"/>
    <cellStyle name="Normal 9 5" xfId="6194" xr:uid="{F9EF86E9-B10A-48B3-9420-6361AB0F3744}"/>
    <cellStyle name="Normal 9 5 2" xfId="6195" xr:uid="{A3F36489-E397-49BC-B401-7A547C5C663B}"/>
    <cellStyle name="Normal 9 5_Exist Trunk Assets - Ferry" xfId="9434" xr:uid="{7F94184A-3392-4B67-AEBF-ABF5077C7C7E}"/>
    <cellStyle name="Normal 9 6" xfId="6196" xr:uid="{D620401A-D957-4172-AE9B-EC67680FB524}"/>
    <cellStyle name="Normal 9 7" xfId="8164" xr:uid="{4936338F-F1BD-4404-9ADD-51312DBC21F9}"/>
    <cellStyle name="Normal 9_Exist Trunk Assets - Ferry" xfId="9420" xr:uid="{5AA14148-823B-4948-898F-E5B660DB64F1}"/>
    <cellStyle name="Normal 90" xfId="6197" xr:uid="{FC54D239-B0D1-411D-89A0-0452B21F937F}"/>
    <cellStyle name="Normal 90 2" xfId="6198" xr:uid="{56E06822-36D8-4B28-B990-E91E643872EA}"/>
    <cellStyle name="Normal 90_Exist Trunk Assets - Ferry" xfId="9435" xr:uid="{D3544402-8B84-409C-95A6-BF49C288A268}"/>
    <cellStyle name="Normal 91" xfId="6199" xr:uid="{760C488E-89C6-4462-855B-65576457C231}"/>
    <cellStyle name="Normal 91 2" xfId="6200" xr:uid="{67994A30-269C-4916-BE7F-E68255216BB8}"/>
    <cellStyle name="Normal 91_Exist Trunk Assets - Ferry" xfId="9436" xr:uid="{98DCC545-5806-4FCF-B172-C576D6D5EBE7}"/>
    <cellStyle name="Normal 92" xfId="6201" xr:uid="{5FAE2E1A-D3ED-4686-9DA8-EDF4C4B2750D}"/>
    <cellStyle name="Normal 92 2" xfId="6202" xr:uid="{6758B33E-00D2-47E9-9A43-FDEFD4709163}"/>
    <cellStyle name="Normal 92_Exist Trunk Assets - Ferry" xfId="9437" xr:uid="{12518D5D-0B0C-47BB-8776-5184D3EE53B9}"/>
    <cellStyle name="Normal 93" xfId="6203" xr:uid="{731A71E7-B947-4FBE-8431-141DA1EE6AE1}"/>
    <cellStyle name="Normal 93 2" xfId="6204" xr:uid="{1427B364-548E-43A2-94F0-E3429AD78984}"/>
    <cellStyle name="Normal 93_Exist Trunk Assets - Ferry" xfId="9438" xr:uid="{1443EE0E-4BF1-4A82-ACAD-2219E79D6B50}"/>
    <cellStyle name="Normal 94" xfId="6205" xr:uid="{FC5CC95A-6B6C-4E1B-B932-7232D7FD5AC6}"/>
    <cellStyle name="Normal 94 2" xfId="6206" xr:uid="{025A6F49-B7AB-4356-AF18-FD05146F83B3}"/>
    <cellStyle name="Normal 94_Exist Trunk Assets - Ferry" xfId="9439" xr:uid="{0BEE58F9-FBCD-40A9-8738-DE9822B4458C}"/>
    <cellStyle name="Normal 95" xfId="6207" xr:uid="{9907EF2E-B503-4A36-942D-3AA27EE7A584}"/>
    <cellStyle name="Normal 95 2" xfId="6208" xr:uid="{AB5FF64B-4277-400D-ADBB-33911E45F12D}"/>
    <cellStyle name="Normal 95_Exist Trunk Assets - Ferry" xfId="9440" xr:uid="{352FCBDF-13B6-47B7-97EB-D65DE0BAC753}"/>
    <cellStyle name="Normal 96" xfId="6209" xr:uid="{B0E09B65-5373-45D5-BD0D-5098367D4086}"/>
    <cellStyle name="Normal 96 2" xfId="6210" xr:uid="{A4A3780D-C897-4948-BB41-C0238AA80912}"/>
    <cellStyle name="Normal 96_Exist Trunk Assets - Ferry" xfId="9441" xr:uid="{87A0EED3-DC41-4510-9AA8-EE575DACD316}"/>
    <cellStyle name="Normal 97" xfId="6211" xr:uid="{18570566-FE70-44C0-97DC-DE5EAE98B147}"/>
    <cellStyle name="Normal 97 2" xfId="6212" xr:uid="{065AE719-C841-4EB7-835D-5F2151393F46}"/>
    <cellStyle name="Normal 97_Exist Trunk Assets - Ferry" xfId="9442" xr:uid="{5458CDBF-970E-481F-BF4C-503CAA25E39C}"/>
    <cellStyle name="Normal 98" xfId="6213" xr:uid="{9507D49A-59F1-4F0A-AC3F-1DC0BA57CD99}"/>
    <cellStyle name="Normal 98 2" xfId="6214" xr:uid="{B4379F0E-282C-49C4-A32B-7E1EC2FF8CC4}"/>
    <cellStyle name="Normal 98_Exist Trunk Assets - Ferry" xfId="9443" xr:uid="{15A76C7E-95B9-4DCD-B6BB-9E49D0461662}"/>
    <cellStyle name="Normal 99" xfId="6215" xr:uid="{1880301C-524D-4DD6-87F1-E7CCFBCFB470}"/>
    <cellStyle name="Normal 99 2" xfId="6216" xr:uid="{B475F405-7F66-4858-900E-AA8CAD1F3187}"/>
    <cellStyle name="Normal 99_Exist Trunk Assets - Ferry" xfId="9444" xr:uid="{D7DF2E72-B131-433B-87BF-065BFFD25F22}"/>
    <cellStyle name="Normal excl Alignment, Borders" xfId="2167" xr:uid="{22681919-3B1F-444C-9417-2BFDD0901C4B}"/>
    <cellStyle name="Normal excl Alignment, Borders 2" xfId="2168" xr:uid="{ADF3DF3F-9577-4EE8-A4F6-9A010319FF7C}"/>
    <cellStyle name="Normal excl Alignment, Borders 2 2" xfId="6217" xr:uid="{050AF9A3-0FBF-498A-BA74-D1EE647FB08D}"/>
    <cellStyle name="Normal excl Alignment, Borders 2 3" xfId="6218" xr:uid="{DD934C18-59A6-482C-A023-0E0671926181}"/>
    <cellStyle name="Normal excl Alignment, Borders 2_Exist Trunk Assets - Ferry" xfId="9446" xr:uid="{E6AA880C-124E-4B1B-9D3E-1CA27B3EA7CC}"/>
    <cellStyle name="Normal excl Alignment, Borders 3" xfId="2169" xr:uid="{702ADFE7-72E1-4E8B-9C65-23CA4055E129}"/>
    <cellStyle name="Normal excl Alignment, Borders 3 2" xfId="6219" xr:uid="{B8A88274-CB17-48E5-B429-0C9E24A48F66}"/>
    <cellStyle name="Normal excl Alignment, Borders 3 3" xfId="6220" xr:uid="{26850212-1B8E-456C-8422-299093F95137}"/>
    <cellStyle name="Normal excl Alignment, Borders 3_Exist Trunk Assets - Ferry" xfId="9447" xr:uid="{05E42131-E92F-41A1-BEFB-29CA0A944C52}"/>
    <cellStyle name="Normal excl Alignment, Borders 4" xfId="2170" xr:uid="{9575D7A2-7B87-4A0E-BB7D-DE6C7D2C4AFD}"/>
    <cellStyle name="Normal excl Alignment, Borders 4 2" xfId="6221" xr:uid="{8E0EC351-0B66-47D9-B825-7BD2330D7909}"/>
    <cellStyle name="Normal excl Alignment, Borders 4 3" xfId="6222" xr:uid="{05C3E7EE-0E27-4D45-8E8F-A5B5A995CB01}"/>
    <cellStyle name="Normal excl Alignment, Borders 4_Exist Trunk Assets - Ferry" xfId="9448" xr:uid="{31CE744F-6A6C-4FAC-BB1E-9A3892C94DF7}"/>
    <cellStyle name="Normal excl Alignment, Borders 5" xfId="2171" xr:uid="{DCD365C5-829B-4786-8664-DFF80C05AC7A}"/>
    <cellStyle name="Normal excl Alignment, Borders 5 2" xfId="6223" xr:uid="{63C3FAA1-879D-4B0C-A1B2-C17469EA613B}"/>
    <cellStyle name="Normal excl Alignment, Borders 5 3" xfId="6224" xr:uid="{A2513112-B778-459C-BC6F-A752A6230511}"/>
    <cellStyle name="Normal excl Alignment, Borders 5_Exist Trunk Assets - Ferry" xfId="9449" xr:uid="{4EFED03B-D747-4132-8B78-3BC6A758259F}"/>
    <cellStyle name="Normal excl Alignment, Borders 6" xfId="2172" xr:uid="{5DE83604-B752-47D3-A7EB-FADAAC7A5DD3}"/>
    <cellStyle name="Normal excl Alignment, Borders 6 2" xfId="6225" xr:uid="{D0FEC028-6557-4997-96B2-927E13E9619C}"/>
    <cellStyle name="Normal excl Alignment, Borders 6 3" xfId="6226" xr:uid="{F1BD3728-ACC0-4F36-ABB5-D8CB81058319}"/>
    <cellStyle name="Normal excl Alignment, Borders 6_Exist Trunk Assets - Ferry" xfId="9450" xr:uid="{7B62AA31-9608-4F21-8B84-AF1831A50F1D}"/>
    <cellStyle name="Normal excl Alignment, Borders 7" xfId="2173" xr:uid="{9049FC17-1332-4477-81B2-8A156C8DC308}"/>
    <cellStyle name="Normal excl Alignment, Borders 7 2" xfId="6227" xr:uid="{1B1148FD-5CD5-4F71-A31B-287EFC502141}"/>
    <cellStyle name="Normal excl Alignment, Borders 7 3" xfId="6228" xr:uid="{66911916-9F9D-4D8C-BECC-ADE8FC7E3DBB}"/>
    <cellStyle name="Normal excl Alignment, Borders 7_Exist Trunk Assets - Ferry" xfId="9451" xr:uid="{58DE6B5B-8935-430B-8C10-1F4983805F95}"/>
    <cellStyle name="Normal excl Alignment, Borders 8" xfId="6229" xr:uid="{43CD2729-8652-4D7D-BB23-1D165B3E7D51}"/>
    <cellStyle name="Normal excl Alignment, Borders 9" xfId="6230" xr:uid="{35398794-FD58-478D-B7D0-04D874BA78B4}"/>
    <cellStyle name="Normal excl Alignment, Borders_Exist Trunk Assets - Ferry" xfId="9445" xr:uid="{DF72252D-7B2E-4DF1-A5E6-A9231585B22E}"/>
    <cellStyle name="Normal, 1 dec, centred" xfId="2174" xr:uid="{87831C11-A106-4D1C-97E6-A5140542CC79}"/>
    <cellStyle name="Normal, 1 dec, centred 2" xfId="6231" xr:uid="{C8CE4F46-B2D9-4697-B843-C5A3A8369C99}"/>
    <cellStyle name="Normal, 1 dec, centred 3" xfId="6232" xr:uid="{655AFE61-CF14-4A94-B1E1-1B36B7B68BCC}"/>
    <cellStyle name="Normal, 1 dec, centred,bold" xfId="2175" xr:uid="{73364082-A19E-401D-B9C8-AD8C63C240D2}"/>
    <cellStyle name="Normal, 1 dec, centred,bold 2" xfId="6233" xr:uid="{999BE4CA-BD24-42AC-AC08-E747578A783C}"/>
    <cellStyle name="Normal, 1 dec, centred,bold 3" xfId="6234" xr:uid="{D3BB2A05-D883-4F91-A832-B8511CDF2979}"/>
    <cellStyle name="Normal, 1 dec, centred,bold_Exist Trunk Assets - Ferry" xfId="9453" xr:uid="{BCE20B88-4DA2-41B7-8AEE-30F810FCD015}"/>
    <cellStyle name="Normal, 1 dec, centred_Exist Trunk Assets - Ferry" xfId="9452" xr:uid="{1E891208-DD71-4213-A0AC-32DEAC847A2A}"/>
    <cellStyle name="Normal_Completed ISR Declaration" xfId="7" xr:uid="{05150266-156B-0644-94AC-5D0C1D417FAB}"/>
    <cellStyle name="normální_laroux" xfId="2176" xr:uid="{43021E26-8451-43C8-A12B-714132A8DBBC}"/>
    <cellStyle name="Note 10" xfId="1574" xr:uid="{8DA5842F-A526-4543-AA1C-060B01BE4503}"/>
    <cellStyle name="Note 10 2" xfId="1575" xr:uid="{E4B6B6D0-B7AA-4D73-93D6-D472F936DF0D}"/>
    <cellStyle name="Note 10 2 2" xfId="6235" xr:uid="{0A457157-946E-4A05-BE04-9B9BAD0C9D3C}"/>
    <cellStyle name="Note 10 2 2 2" xfId="6236" xr:uid="{1B3EEECC-30D4-49C9-A2F6-95652EF814C0}"/>
    <cellStyle name="Note 10 2 2_Exist Trunk Assets - Ferry" xfId="9456" xr:uid="{8C6E399F-28D6-4564-B143-8617CBAF70EE}"/>
    <cellStyle name="Note 10 2 3" xfId="6237" xr:uid="{3E96C084-BE07-40A9-8AA9-F51C71A62D87}"/>
    <cellStyle name="Note 10 2 3 2" xfId="6238" xr:uid="{58E250FB-CD88-4996-9859-17972E2D7113}"/>
    <cellStyle name="Note 10 2 3_Exist Trunk Assets - Ferry" xfId="9457" xr:uid="{4A438F23-C45B-4069-A8E8-BF5C954F23DD}"/>
    <cellStyle name="Note 10 2 4" xfId="6239" xr:uid="{A49463F0-041F-4CAC-95DE-A75591CDF1D2}"/>
    <cellStyle name="Note 10 2 5" xfId="6240" xr:uid="{105BF965-B0D5-4ADB-AE06-7A5E7CD4A6C3}"/>
    <cellStyle name="Note 10 2 6" xfId="6241" xr:uid="{2054D62E-E623-4A46-9769-22AE318EE3A3}"/>
    <cellStyle name="Note 10 2_Exist Trunk Assets - Ferry" xfId="9455" xr:uid="{442492BE-19A3-4550-84C7-5D3170816074}"/>
    <cellStyle name="Note 10 3" xfId="6242" xr:uid="{3A98B900-CB6B-459D-ABC7-71254593997F}"/>
    <cellStyle name="Note 10 3 2" xfId="6243" xr:uid="{5E61445E-4E5D-4020-AFFB-43BBBE3E226E}"/>
    <cellStyle name="Note 10 3_Exist Trunk Assets - Ferry" xfId="9458" xr:uid="{44F0DB00-13EC-4153-903D-6A804205E2D1}"/>
    <cellStyle name="Note 10 4" xfId="6244" xr:uid="{63D5AEC1-54B2-4C0C-8601-44D025E6811A}"/>
    <cellStyle name="Note 10 4 2" xfId="6245" xr:uid="{D2A25C28-07BA-4EA0-B7FF-A465663E9FF5}"/>
    <cellStyle name="Note 10 4_Exist Trunk Assets - Ferry" xfId="9459" xr:uid="{785B594F-6549-4404-A57B-2B39EB5AB9A8}"/>
    <cellStyle name="Note 10 5" xfId="6246" xr:uid="{749B754E-9306-4A4E-89ED-98AA7A5E3251}"/>
    <cellStyle name="Note 10 6" xfId="6247" xr:uid="{C934AB3C-07C9-4C8E-B267-38C98A5244E0}"/>
    <cellStyle name="Note 10 7" xfId="6248" xr:uid="{E22DC92A-F21D-488C-96B6-B1465946B758}"/>
    <cellStyle name="Note 10_Exist Trunk Assets - Ferry" xfId="9454" xr:uid="{90F898D5-3F02-4620-BBA7-34DDC61BFD7A}"/>
    <cellStyle name="Note 11" xfId="1576" xr:uid="{E020A6F6-19AD-4BAC-B9D9-42ADC3D6EC23}"/>
    <cellStyle name="Note 11 2" xfId="1577" xr:uid="{F3BFC7BE-9B40-4157-B138-99366E7EC876}"/>
    <cellStyle name="Note 11 2 2" xfId="6249" xr:uid="{6710D388-B375-46D6-A743-CF6ED3B328A2}"/>
    <cellStyle name="Note 11 2 2 2" xfId="6250" xr:uid="{38CB0D0C-1BBF-42E1-B66A-DF93EF9B207B}"/>
    <cellStyle name="Note 11 2 2_Exist Trunk Assets - Ferry" xfId="9462" xr:uid="{01208F02-EE86-4BA0-A515-1FF8B3CE04F5}"/>
    <cellStyle name="Note 11 2 3" xfId="6251" xr:uid="{DCD0106B-0BB3-4864-9731-61491D3C2AEB}"/>
    <cellStyle name="Note 11 2 3 2" xfId="6252" xr:uid="{4DCBC954-9E60-41C2-9266-4D1B7B17783A}"/>
    <cellStyle name="Note 11 2 3_Exist Trunk Assets - Ferry" xfId="9463" xr:uid="{2FF640DC-6016-49B6-B8BA-7E92F2BBC94B}"/>
    <cellStyle name="Note 11 2 4" xfId="6253" xr:uid="{823C6A24-AFC1-418C-8CFA-D0162FC46879}"/>
    <cellStyle name="Note 11 2 5" xfId="6254" xr:uid="{B7A5B416-2E1D-48C8-ADEC-E3C601BC4DE2}"/>
    <cellStyle name="Note 11 2 6" xfId="6255" xr:uid="{2745EC7D-D972-4C77-AD46-2A5AAF614862}"/>
    <cellStyle name="Note 11 2_Exist Trunk Assets - Ferry" xfId="9461" xr:uid="{CBB3EA7D-911F-4AF4-B406-6A46521627A4}"/>
    <cellStyle name="Note 11 3" xfId="6256" xr:uid="{4CF5F481-3FA6-4D63-B9F5-50030578747C}"/>
    <cellStyle name="Note 11 3 2" xfId="6257" xr:uid="{0A86490F-3BDA-4E54-9015-97D1F5FBCCE1}"/>
    <cellStyle name="Note 11 3_Exist Trunk Assets - Ferry" xfId="9464" xr:uid="{A86B4173-8B3D-4D9F-8D5C-A7AC4B1A6E4F}"/>
    <cellStyle name="Note 11 4" xfId="6258" xr:uid="{2567D6F8-33BA-43C2-942F-28A78F8D5E65}"/>
    <cellStyle name="Note 11 4 2" xfId="6259" xr:uid="{0D26D2C7-9CA6-4467-9FC2-3DD4B30AD048}"/>
    <cellStyle name="Note 11 4_Exist Trunk Assets - Ferry" xfId="9465" xr:uid="{DCE233A5-F814-40EB-843A-BCF52D8834C5}"/>
    <cellStyle name="Note 11 5" xfId="6260" xr:uid="{E1A9F8EF-F58E-4622-A88B-06577288DE6F}"/>
    <cellStyle name="Note 11 6" xfId="6261" xr:uid="{2064F01E-39F8-4042-869F-31BA3F75907E}"/>
    <cellStyle name="Note 11 7" xfId="6262" xr:uid="{2A702FC2-2E20-4A1E-8EA8-6C822B7218E8}"/>
    <cellStyle name="Note 11_Exist Trunk Assets - Ferry" xfId="9460" xr:uid="{4F84A6C2-E934-4DAE-B8CB-647233D5B994}"/>
    <cellStyle name="Note 12" xfId="1578" xr:uid="{5A603FE4-6E73-4AF7-833A-AF1B996C7609}"/>
    <cellStyle name="Note 12 2" xfId="1579" xr:uid="{87DE0A0F-C80A-4522-AB5B-3FB1AE0B38C8}"/>
    <cellStyle name="Note 12 2 2" xfId="6263" xr:uid="{BED51A48-A1E5-44E3-B62B-D3275047589F}"/>
    <cellStyle name="Note 12 2 2 2" xfId="6264" xr:uid="{BE0F3371-C08F-43A6-B5F4-86A1457D4D52}"/>
    <cellStyle name="Note 12 2 2_Exist Trunk Assets - Ferry" xfId="9468" xr:uid="{CA6FCEC5-0E65-470D-A660-E0A4B0DC7152}"/>
    <cellStyle name="Note 12 2 3" xfId="6265" xr:uid="{A089F103-5062-4413-B88C-5D058FE7A4FC}"/>
    <cellStyle name="Note 12 2 3 2" xfId="6266" xr:uid="{54BBD93B-FE16-4028-8A6B-AD1FCB500314}"/>
    <cellStyle name="Note 12 2 3_Exist Trunk Assets - Ferry" xfId="9469" xr:uid="{9C429643-D85B-498E-9433-56ECFF4FE7EB}"/>
    <cellStyle name="Note 12 2 4" xfId="6267" xr:uid="{0BBD088D-1E30-44C1-8DD1-076A28662940}"/>
    <cellStyle name="Note 12 2 5" xfId="6268" xr:uid="{4A6E1466-9CBC-4069-A47E-820545D1E73A}"/>
    <cellStyle name="Note 12 2 6" xfId="6269" xr:uid="{16511D69-1816-425E-87D1-0DD1B857E44C}"/>
    <cellStyle name="Note 12 2_Exist Trunk Assets - Ferry" xfId="9467" xr:uid="{DF59FD3C-5B84-4F64-8E43-647C6A11DAF2}"/>
    <cellStyle name="Note 12 3" xfId="6270" xr:uid="{8B3D8918-6A2E-43EC-BDBF-EBCE373BB6FF}"/>
    <cellStyle name="Note 12 3 2" xfId="6271" xr:uid="{D911FAD5-8220-4B8A-9D60-26333B146594}"/>
    <cellStyle name="Note 12 3_Exist Trunk Assets - Ferry" xfId="9470" xr:uid="{E111CC42-9E6B-4565-AA47-408F7459DC83}"/>
    <cellStyle name="Note 12 4" xfId="6272" xr:uid="{6C5C745B-D84C-47CC-99A3-02707F7532FE}"/>
    <cellStyle name="Note 12 4 2" xfId="6273" xr:uid="{16DE5B30-4BC4-4BC0-8D27-EB53D94950C1}"/>
    <cellStyle name="Note 12 4_Exist Trunk Assets - Ferry" xfId="9471" xr:uid="{7B728ACC-85F8-4BD1-85B5-D33751F7D111}"/>
    <cellStyle name="Note 12 5" xfId="6274" xr:uid="{552F2DAB-33E9-4DA2-9096-8F3D2C728C98}"/>
    <cellStyle name="Note 12 6" xfId="6275" xr:uid="{9026DB62-4226-4CC6-BD67-7084B5D045A0}"/>
    <cellStyle name="Note 12 7" xfId="6276" xr:uid="{96305390-581F-48F4-87BE-019E22B79034}"/>
    <cellStyle name="Note 12_Exist Trunk Assets - Ferry" xfId="9466" xr:uid="{A248DDAC-FC8B-4BFB-B45D-39A11F8298D7}"/>
    <cellStyle name="Note 13" xfId="1580" xr:uid="{CBF7E3B3-A61E-4AF1-B991-EEBE8BE25A52}"/>
    <cellStyle name="Note 13 2" xfId="1581" xr:uid="{96B890AC-C287-4C71-B937-52F9D3BEBAB7}"/>
    <cellStyle name="Note 13 2 2" xfId="6277" xr:uid="{831F44E4-C3DB-4521-B500-203DF220B4C7}"/>
    <cellStyle name="Note 13 2 2 2" xfId="6278" xr:uid="{8803E0D8-B7BB-4E86-B23D-72C371E67109}"/>
    <cellStyle name="Note 13 2 2_Exist Trunk Assets - Ferry" xfId="9474" xr:uid="{D0C35409-7D41-46D4-B6F2-2B5849B7A953}"/>
    <cellStyle name="Note 13 2 3" xfId="6279" xr:uid="{1925D561-0DE4-4E9E-B7C6-402D327D0507}"/>
    <cellStyle name="Note 13 2 3 2" xfId="6280" xr:uid="{932FCA8B-F7C7-43F0-9B8D-5A9D9071D3BB}"/>
    <cellStyle name="Note 13 2 3_Exist Trunk Assets - Ferry" xfId="9475" xr:uid="{23A4AAC5-49D6-4827-A043-B42EB6F84557}"/>
    <cellStyle name="Note 13 2 4" xfId="6281" xr:uid="{CDA66F81-7CED-48C4-A512-81BBD000CF96}"/>
    <cellStyle name="Note 13 2 5" xfId="6282" xr:uid="{06296BB0-35F5-46BA-8E4E-3E7C25EF7170}"/>
    <cellStyle name="Note 13 2 6" xfId="6283" xr:uid="{69A5F8EF-6021-4962-8D3D-33114EB5BB2A}"/>
    <cellStyle name="Note 13 2_Exist Trunk Assets - Ferry" xfId="9473" xr:uid="{182C7D24-A3FF-4390-A4DE-78B85F0CD68B}"/>
    <cellStyle name="Note 13 3" xfId="6284" xr:uid="{76029D6F-78E7-4215-89F2-66A5223E6C13}"/>
    <cellStyle name="Note 13 3 2" xfId="6285" xr:uid="{30B8C501-9651-4A1D-8761-6D32E7038D5C}"/>
    <cellStyle name="Note 13 3_Exist Trunk Assets - Ferry" xfId="9476" xr:uid="{EF351F0B-3C7F-4107-A70F-763FCD6A05F3}"/>
    <cellStyle name="Note 13 4" xfId="6286" xr:uid="{610773D1-E7B1-42CC-8B3E-A48AAE43F671}"/>
    <cellStyle name="Note 13 4 2" xfId="6287" xr:uid="{2C069098-BCFB-4B31-807A-E6E6E7EB948E}"/>
    <cellStyle name="Note 13 4_Exist Trunk Assets - Ferry" xfId="9477" xr:uid="{1361C3C6-ED6C-4318-89EB-2E61D3DCA284}"/>
    <cellStyle name="Note 13 5" xfId="6288" xr:uid="{F19CC39E-187C-4D11-9662-8B5F7D6A8F59}"/>
    <cellStyle name="Note 13 6" xfId="6289" xr:uid="{1E7422A8-1B77-436D-9F85-3B85F94B0DAE}"/>
    <cellStyle name="Note 13 7" xfId="6290" xr:uid="{3E613E49-9253-479A-B65D-B41BF54F5B44}"/>
    <cellStyle name="Note 13_Exist Trunk Assets - Ferry" xfId="9472" xr:uid="{5F4C94EE-5333-4770-B15E-EB4F4031BCC4}"/>
    <cellStyle name="Note 14" xfId="1582" xr:uid="{D920F7F0-C112-4E0E-B878-30F0D8A17B9D}"/>
    <cellStyle name="Note 14 2" xfId="1583" xr:uid="{A5E63DB6-88B1-4838-B5BD-7EE0C3391CD5}"/>
    <cellStyle name="Note 14 2 2" xfId="6291" xr:uid="{54FE8C96-D734-45B7-BA24-5AAA8E0C4726}"/>
    <cellStyle name="Note 14 2 2 2" xfId="6292" xr:uid="{5ADCFB76-1582-4089-906B-3156995B2DD2}"/>
    <cellStyle name="Note 14 2 2_Exist Trunk Assets - Ferry" xfId="9480" xr:uid="{3060E5FD-F057-4396-A338-56E6854A74D6}"/>
    <cellStyle name="Note 14 2 3" xfId="6293" xr:uid="{D2C0B666-4801-4505-B7F5-E6F0B59BD2BE}"/>
    <cellStyle name="Note 14 2 3 2" xfId="6294" xr:uid="{5DEBA122-3677-43B2-B13B-41F48B4E0353}"/>
    <cellStyle name="Note 14 2 3_Exist Trunk Assets - Ferry" xfId="9481" xr:uid="{5F076DD7-6125-4914-A00B-8ADDFA0C4275}"/>
    <cellStyle name="Note 14 2 4" xfId="6295" xr:uid="{0ED8F16D-52A1-41B2-AD29-C39692944B01}"/>
    <cellStyle name="Note 14 2 5" xfId="6296" xr:uid="{D64EE44C-0A84-4F1D-A77D-8CA938C142B7}"/>
    <cellStyle name="Note 14 2 6" xfId="6297" xr:uid="{C2F187F8-103F-4AF9-B43E-2A26F5F5CEEE}"/>
    <cellStyle name="Note 14 2_Exist Trunk Assets - Ferry" xfId="9479" xr:uid="{0A6E75D2-5A59-4C8E-AB51-BBE12AB4001D}"/>
    <cellStyle name="Note 14 3" xfId="6298" xr:uid="{1DCC1C6D-3D1D-40E8-A37F-0639CA004BB7}"/>
    <cellStyle name="Note 14 3 2" xfId="6299" xr:uid="{A6716CC1-0ACB-4985-A9A0-B6B561FE6314}"/>
    <cellStyle name="Note 14 3_Exist Trunk Assets - Ferry" xfId="9482" xr:uid="{208FC98B-16FF-4505-833D-5A89FAA407D7}"/>
    <cellStyle name="Note 14 4" xfId="6300" xr:uid="{AFAE21DB-3B90-4099-A36C-4A6838C14A22}"/>
    <cellStyle name="Note 14 4 2" xfId="6301" xr:uid="{9FB0F894-226F-4863-BD84-BB749A989E01}"/>
    <cellStyle name="Note 14 4_Exist Trunk Assets - Ferry" xfId="9483" xr:uid="{77788FB3-D11A-4B57-A862-74DB81982BD2}"/>
    <cellStyle name="Note 14 5" xfId="6302" xr:uid="{277EE087-26FC-478E-A26B-7B54E7F26547}"/>
    <cellStyle name="Note 14 6" xfId="6303" xr:uid="{E89E45E6-9F94-4A21-8724-C7C57A84AAD0}"/>
    <cellStyle name="Note 14 7" xfId="6304" xr:uid="{EE7D5D2E-A12C-4516-82DE-4D74E8D2936C}"/>
    <cellStyle name="Note 14_Exist Trunk Assets - Ferry" xfId="9478" xr:uid="{736B7B30-1485-49C4-84B5-210D8A8DC0FB}"/>
    <cellStyle name="Note 15" xfId="1584" xr:uid="{4B741E89-D40D-4122-B493-F02BD26B38B6}"/>
    <cellStyle name="Note 15 2" xfId="1585" xr:uid="{F4A86D62-F5D5-4E31-BE37-1691B690379F}"/>
    <cellStyle name="Note 15 2 2" xfId="6305" xr:uid="{2A5E8C4F-370A-47DD-8858-29296E551708}"/>
    <cellStyle name="Note 15 2 2 2" xfId="6306" xr:uid="{0320E3F5-3DE6-44E9-B1D0-175B3B93380A}"/>
    <cellStyle name="Note 15 2 2_Exist Trunk Assets - Ferry" xfId="9486" xr:uid="{BEA493C8-AC30-4678-A8FC-D98C335B6124}"/>
    <cellStyle name="Note 15 2 3" xfId="6307" xr:uid="{54823E2F-97BA-4056-9E98-BBA077E0F4EB}"/>
    <cellStyle name="Note 15 2 3 2" xfId="6308" xr:uid="{33746647-434E-41D8-9840-B0C2950F7DF7}"/>
    <cellStyle name="Note 15 2 3_Exist Trunk Assets - Ferry" xfId="9487" xr:uid="{F6228369-465C-42D6-9278-7650A5762B10}"/>
    <cellStyle name="Note 15 2 4" xfId="6309" xr:uid="{17A65A7A-086C-4D73-9C95-EF8FC3C0EAE2}"/>
    <cellStyle name="Note 15 2 5" xfId="6310" xr:uid="{62AAFF9D-9AD1-46F7-9BFA-E88A0FD6D9E2}"/>
    <cellStyle name="Note 15 2 6" xfId="6311" xr:uid="{E8B93354-E0B8-4427-947F-FD1D8E5EF793}"/>
    <cellStyle name="Note 15 2_Exist Trunk Assets - Ferry" xfId="9485" xr:uid="{A6229E44-911B-4055-AC66-8F3DF60811DC}"/>
    <cellStyle name="Note 15 3" xfId="6312" xr:uid="{515EB202-8E46-4B81-9C36-C23F1DE22681}"/>
    <cellStyle name="Note 15 3 2" xfId="6313" xr:uid="{78009F81-7A7D-4D4A-ABE3-654BE4A68D6C}"/>
    <cellStyle name="Note 15 3_Exist Trunk Assets - Ferry" xfId="9488" xr:uid="{359FC634-2707-4CD6-90F4-893DD6E2BD3C}"/>
    <cellStyle name="Note 15 4" xfId="6314" xr:uid="{3FEE7200-9F32-4EDE-A95D-1E400E18356A}"/>
    <cellStyle name="Note 15 4 2" xfId="6315" xr:uid="{85211C96-E781-4E9E-80DC-9607972E2321}"/>
    <cellStyle name="Note 15 4_Exist Trunk Assets - Ferry" xfId="9489" xr:uid="{0B3609E2-9777-4E04-93EE-ABF90E647023}"/>
    <cellStyle name="Note 15 5" xfId="6316" xr:uid="{1C1BABBA-A6B2-48B4-B995-69EED013B61C}"/>
    <cellStyle name="Note 15 6" xfId="6317" xr:uid="{0FAB40F7-1AA0-4C69-862B-2DFB866E6ED9}"/>
    <cellStyle name="Note 15 7" xfId="6318" xr:uid="{E1CF81C4-E63A-4D8D-B1AF-FB1B0B7B433D}"/>
    <cellStyle name="Note 15_Exist Trunk Assets - Ferry" xfId="9484" xr:uid="{A9D1AB17-ACAD-405D-9EBD-808D0DC469A9}"/>
    <cellStyle name="Note 16" xfId="1586" xr:uid="{4186568F-2F62-4395-BB68-2C9782B4D728}"/>
    <cellStyle name="Note 16 2" xfId="1587" xr:uid="{860CCEDF-19C5-4162-8F39-6D7D08867358}"/>
    <cellStyle name="Note 16 2 2" xfId="6319" xr:uid="{ABD44B4D-2888-4AED-A117-80627235B44F}"/>
    <cellStyle name="Note 16 2 2 2" xfId="6320" xr:uid="{A24CF12E-988D-4287-A47D-F6173521EEDA}"/>
    <cellStyle name="Note 16 2 2_Exist Trunk Assets - Ferry" xfId="9492" xr:uid="{EA46D323-6119-49AF-BDFA-27CB1805BE0E}"/>
    <cellStyle name="Note 16 2 3" xfId="6321" xr:uid="{1F003F3C-22BF-495E-B543-3FCFDB3C1C2D}"/>
    <cellStyle name="Note 16 2 3 2" xfId="6322" xr:uid="{BEA67125-8D05-423A-AC0A-A937C6E8AD92}"/>
    <cellStyle name="Note 16 2 3_Exist Trunk Assets - Ferry" xfId="9493" xr:uid="{1352447C-914D-4D6F-9F63-FD0C69A3C3AB}"/>
    <cellStyle name="Note 16 2 4" xfId="6323" xr:uid="{0B22F285-A3B9-4EFF-ACC7-B488EE617AAF}"/>
    <cellStyle name="Note 16 2 5" xfId="6324" xr:uid="{DF5BB558-029B-4180-A2A9-7C37BC4A459C}"/>
    <cellStyle name="Note 16 2 6" xfId="6325" xr:uid="{6191B1C8-660E-4CCC-81D3-E0FAAA841EDF}"/>
    <cellStyle name="Note 16 2_Exist Trunk Assets - Ferry" xfId="9491" xr:uid="{978DAD82-EE99-45D0-B67C-3D2E1FC17264}"/>
    <cellStyle name="Note 16 3" xfId="6326" xr:uid="{449BFAAC-0F37-42A9-8D4E-5B2ECAE84B20}"/>
    <cellStyle name="Note 16 3 2" xfId="6327" xr:uid="{599FC132-2A65-4BEC-9439-083D84A04DE3}"/>
    <cellStyle name="Note 16 3_Exist Trunk Assets - Ferry" xfId="9494" xr:uid="{1AEF87C8-EF1F-4C5B-8B72-040870BB7FCA}"/>
    <cellStyle name="Note 16 4" xfId="6328" xr:uid="{BEFE62E1-5437-40A1-B2BC-208DE414350D}"/>
    <cellStyle name="Note 16 4 2" xfId="6329" xr:uid="{BAB2E107-72FE-4CC3-94CB-0D7A86F711CD}"/>
    <cellStyle name="Note 16 4_Exist Trunk Assets - Ferry" xfId="9495" xr:uid="{1ABADA4D-BAAC-478C-98A6-C2D02967BA1A}"/>
    <cellStyle name="Note 16 5" xfId="6330" xr:uid="{CFA7C4D7-EA7D-4E19-A3DB-FDC38FA0C1D3}"/>
    <cellStyle name="Note 16 6" xfId="6331" xr:uid="{DBED5BBA-8E58-43CC-A30B-ABE8AE037CF8}"/>
    <cellStyle name="Note 16 7" xfId="6332" xr:uid="{3FE4606A-BEC7-4D84-A6D2-BCD91B211CAF}"/>
    <cellStyle name="Note 16_Exist Trunk Assets - Ferry" xfId="9490" xr:uid="{3770AC41-467E-47A2-9449-1B95180A2277}"/>
    <cellStyle name="Note 17" xfId="1588" xr:uid="{A82EFB89-853A-4656-B029-3DB27EBB6F76}"/>
    <cellStyle name="Note 17 2" xfId="1589" xr:uid="{5D2F5C0B-B07E-407C-9B5A-03A9128353A0}"/>
    <cellStyle name="Note 17 2 2" xfId="6333" xr:uid="{035F522E-6887-414C-85E2-6C2638A32BA5}"/>
    <cellStyle name="Note 17 2 2 2" xfId="6334" xr:uid="{BF4DA342-38D5-4690-9FAF-C0B194B519AB}"/>
    <cellStyle name="Note 17 2 2_Exist Trunk Assets - Ferry" xfId="9498" xr:uid="{002D297B-F5CA-4961-93B9-B2E9858858D7}"/>
    <cellStyle name="Note 17 2 3" xfId="6335" xr:uid="{255C37E8-661C-4BD4-852D-55A3E267900B}"/>
    <cellStyle name="Note 17 2 3 2" xfId="6336" xr:uid="{8F5E1B36-F1A4-40F2-9008-C3A85F554484}"/>
    <cellStyle name="Note 17 2 3_Exist Trunk Assets - Ferry" xfId="9499" xr:uid="{29005834-7EA6-43AE-A600-53709DC3C74A}"/>
    <cellStyle name="Note 17 2 4" xfId="6337" xr:uid="{66424EC9-B7AC-4479-9DE5-F2B5DEA6AC6B}"/>
    <cellStyle name="Note 17 2 5" xfId="6338" xr:uid="{EF53EFF4-6976-4478-8614-6C14FC6EDFE0}"/>
    <cellStyle name="Note 17 2 6" xfId="6339" xr:uid="{F926E776-AF7F-415D-ACCB-20C0FD223444}"/>
    <cellStyle name="Note 17 2_Exist Trunk Assets - Ferry" xfId="9497" xr:uid="{F13EDEAD-CA24-470E-82E3-496AA4FEB7F4}"/>
    <cellStyle name="Note 17 3" xfId="6340" xr:uid="{2E554F04-DF9B-454A-A4A3-C3FFF2C6F28C}"/>
    <cellStyle name="Note 17 3 2" xfId="6341" xr:uid="{8BB8AB7F-2149-45DC-8F06-521F350F6971}"/>
    <cellStyle name="Note 17 3_Exist Trunk Assets - Ferry" xfId="9500" xr:uid="{7E04E941-CE44-4A12-9660-EDC7DF416477}"/>
    <cellStyle name="Note 17 4" xfId="6342" xr:uid="{697FDCA0-DE00-4292-B68A-7E3FC949EED9}"/>
    <cellStyle name="Note 17 4 2" xfId="6343" xr:uid="{67EE9CBF-0893-48BD-983F-8497818707CE}"/>
    <cellStyle name="Note 17 4_Exist Trunk Assets - Ferry" xfId="9501" xr:uid="{D765546F-A344-4486-84CF-71C81EDDCCA6}"/>
    <cellStyle name="Note 17 5" xfId="6344" xr:uid="{DA88C22F-779C-4434-BD71-04B34AA34CF2}"/>
    <cellStyle name="Note 17 6" xfId="6345" xr:uid="{745E1E8D-E8FF-4E37-B3F2-9B0ACE6F0C75}"/>
    <cellStyle name="Note 17 7" xfId="6346" xr:uid="{88B49ACD-C257-437B-8F52-5CF3E61694B1}"/>
    <cellStyle name="Note 17_Exist Trunk Assets - Ferry" xfId="9496" xr:uid="{BCC1807E-EDC1-485B-BDEB-C8A9DA9AA16E}"/>
    <cellStyle name="Note 18" xfId="1590" xr:uid="{05C6829D-EBF9-4D8C-8508-9F1C07266BD6}"/>
    <cellStyle name="Note 18 2" xfId="1591" xr:uid="{4AAFA838-C81B-456F-8162-AA57DDAD04F7}"/>
    <cellStyle name="Note 18 2 2" xfId="6347" xr:uid="{6B23E2FE-D9A5-4351-9928-11C8232C7279}"/>
    <cellStyle name="Note 18 2 2 2" xfId="6348" xr:uid="{D123AC5C-66F3-485B-932C-3F9A4677D772}"/>
    <cellStyle name="Note 18 2 2_Exist Trunk Assets - Ferry" xfId="9504" xr:uid="{3128FD2D-34DF-4787-BB1A-C9EC5F84CD1B}"/>
    <cellStyle name="Note 18 2 3" xfId="6349" xr:uid="{D9850105-5C6D-4846-9DFD-C477CACACBF8}"/>
    <cellStyle name="Note 18 2 3 2" xfId="6350" xr:uid="{5926C4F2-5F95-434B-A0E0-203DA1C979BB}"/>
    <cellStyle name="Note 18 2 3_Exist Trunk Assets - Ferry" xfId="9505" xr:uid="{1638ED83-54DD-4194-8D4F-2512B756F451}"/>
    <cellStyle name="Note 18 2 4" xfId="6351" xr:uid="{2A2ACED2-26FC-4B19-B51B-98A72639DDA0}"/>
    <cellStyle name="Note 18 2 5" xfId="6352" xr:uid="{9FB97412-FF9B-4F3D-B83B-2C5789B206DC}"/>
    <cellStyle name="Note 18 2 6" xfId="6353" xr:uid="{93DC3601-E3DD-4EA9-A0E3-E6EDBA63FA48}"/>
    <cellStyle name="Note 18 2_Exist Trunk Assets - Ferry" xfId="9503" xr:uid="{F0F401AD-0A75-4F70-B3A2-B099A59B5274}"/>
    <cellStyle name="Note 18 3" xfId="6354" xr:uid="{DE60E8B4-5CAE-466E-81B6-FF3668E97DB3}"/>
    <cellStyle name="Note 18 3 2" xfId="6355" xr:uid="{79AD78EA-E5E4-4108-ACEA-E80FF9DAB0C3}"/>
    <cellStyle name="Note 18 3_Exist Trunk Assets - Ferry" xfId="9506" xr:uid="{1487FF30-FCDC-4DCF-A93D-A7C5F33C4C48}"/>
    <cellStyle name="Note 18 4" xfId="6356" xr:uid="{AD4B18F4-461E-4F4E-B8A9-F44CE67E17DB}"/>
    <cellStyle name="Note 18 4 2" xfId="6357" xr:uid="{541E9646-0CEC-4A2A-8E40-79655D2FB42C}"/>
    <cellStyle name="Note 18 4_Exist Trunk Assets - Ferry" xfId="9507" xr:uid="{2F9A6EC9-A6FE-40A3-B01C-E47FBC75965C}"/>
    <cellStyle name="Note 18 5" xfId="6358" xr:uid="{771186E9-EBAE-48EC-BC87-00E9E8157E59}"/>
    <cellStyle name="Note 18 6" xfId="6359" xr:uid="{615D599F-C604-4A71-95E0-685C2D956FBA}"/>
    <cellStyle name="Note 18 7" xfId="6360" xr:uid="{8E0E4050-AAD0-4F4A-9B68-E55F873EAFB3}"/>
    <cellStyle name="Note 18_Exist Trunk Assets - Ferry" xfId="9502" xr:uid="{12FFB36A-4465-4AB2-9178-17720550C9CE}"/>
    <cellStyle name="Note 19" xfId="1592" xr:uid="{25526C41-37B1-4F6D-9D06-A75B5790A2C4}"/>
    <cellStyle name="Note 19 2" xfId="1593" xr:uid="{B9330F52-729D-4B6A-871F-BACB4204A932}"/>
    <cellStyle name="Note 19 2 2" xfId="6361" xr:uid="{0C369339-EAD1-4F70-89F9-AC2BF65D3A80}"/>
    <cellStyle name="Note 19 2 2 2" xfId="6362" xr:uid="{A60BFDDE-C858-4ECE-814F-87D4A1263BEE}"/>
    <cellStyle name="Note 19 2 2_Exist Trunk Assets - Ferry" xfId="9510" xr:uid="{29258F05-1505-4E6E-BE4B-EEA65E989E8A}"/>
    <cellStyle name="Note 19 2 3" xfId="6363" xr:uid="{3D9119A9-F1F2-43E7-A44F-46397576ED20}"/>
    <cellStyle name="Note 19 2 3 2" xfId="6364" xr:uid="{BA0EE33E-CBE2-49A6-88A0-F849DD344487}"/>
    <cellStyle name="Note 19 2 3_Exist Trunk Assets - Ferry" xfId="9511" xr:uid="{ED0D96C7-3AE0-4FB5-AE5C-1EEFCBA99C90}"/>
    <cellStyle name="Note 19 2 4" xfId="6365" xr:uid="{2D76C79D-DAA7-4F6C-B979-AB0C388F0A7C}"/>
    <cellStyle name="Note 19 2 5" xfId="6366" xr:uid="{277B1C40-70AA-4015-AC46-F5FA3D154C20}"/>
    <cellStyle name="Note 19 2 6" xfId="6367" xr:uid="{899182A2-EB63-45DE-968B-F4BA40B07620}"/>
    <cellStyle name="Note 19 2_Exist Trunk Assets - Ferry" xfId="9509" xr:uid="{21560D3C-9039-48B3-B1B9-A154F4822BAE}"/>
    <cellStyle name="Note 19 3" xfId="6368" xr:uid="{FBB0C9EE-3D1D-4D6D-8B37-56FA1632DE1A}"/>
    <cellStyle name="Note 19 3 2" xfId="6369" xr:uid="{F6EEB27A-706F-45D0-B691-0AD5E9E105F9}"/>
    <cellStyle name="Note 19 3_Exist Trunk Assets - Ferry" xfId="9512" xr:uid="{ECEEE119-CF0F-4AAA-B4F5-62B2F5F774A9}"/>
    <cellStyle name="Note 19 4" xfId="6370" xr:uid="{DC5D7543-84AB-4AA5-AAE3-0FC687F7B59C}"/>
    <cellStyle name="Note 19 4 2" xfId="6371" xr:uid="{8EE050D6-8A57-4924-9345-77D62DCFB8E2}"/>
    <cellStyle name="Note 19 4_Exist Trunk Assets - Ferry" xfId="9513" xr:uid="{F7E51D7F-91B5-4525-B011-B1EDF4957959}"/>
    <cellStyle name="Note 19 5" xfId="6372" xr:uid="{FC3A1BA8-9714-48DD-A1E9-DBEB40C7FB52}"/>
    <cellStyle name="Note 19 6" xfId="6373" xr:uid="{2C5DD222-7EB4-4686-8D7E-DB8D28763B73}"/>
    <cellStyle name="Note 19 7" xfId="6374" xr:uid="{B41A304E-6E55-496F-BF04-B99DADB9FE45}"/>
    <cellStyle name="Note 19_Exist Trunk Assets - Ferry" xfId="9508" xr:uid="{93677EDF-6D61-478C-8024-E09BD5FB277E}"/>
    <cellStyle name="Note 2" xfId="1594" xr:uid="{CA81F1B5-77FF-41D0-86C9-9C91B6CE32DE}"/>
    <cellStyle name="Note 2 10" xfId="6375" xr:uid="{F6B10A69-3C17-4CB9-A1E9-61EC2D7B7D58}"/>
    <cellStyle name="Note 2 11" xfId="6376" xr:uid="{EBEAA4DD-D826-4EBD-B762-057E7FEE79F4}"/>
    <cellStyle name="Note 2 12" xfId="8165" xr:uid="{A19E9F01-FBF2-4BD0-9A8A-57A236FAF907}"/>
    <cellStyle name="Note 2 2" xfId="1595" xr:uid="{E78451F3-C36A-4381-A223-912F1BE58606}"/>
    <cellStyle name="Note 2 2 2" xfId="1596" xr:uid="{380E1563-185C-44C3-8391-BF9A8C450823}"/>
    <cellStyle name="Note 2 2 2 2" xfId="6377" xr:uid="{E06624A2-0ECF-4D31-AB4B-CCCE6D4397D5}"/>
    <cellStyle name="Note 2 2 2 2 2" xfId="6378" xr:uid="{EA388677-0A43-403B-9FA1-09799A1BD0F0}"/>
    <cellStyle name="Note 2 2 2 2_Exist Trunk Assets - Ferry" xfId="9517" xr:uid="{29E0F7A0-3AEB-4E13-8258-1B36032F3819}"/>
    <cellStyle name="Note 2 2 2 3" xfId="6379" xr:uid="{4C00CF52-D50A-473C-A879-D571F4601647}"/>
    <cellStyle name="Note 2 2 2 3 2" xfId="6380" xr:uid="{CC03239D-0507-43F6-A7CD-934B715BB353}"/>
    <cellStyle name="Note 2 2 2 3_Exist Trunk Assets - Ferry" xfId="9518" xr:uid="{25D6472E-D3CF-45E7-A3B5-589426013976}"/>
    <cellStyle name="Note 2 2 2 4" xfId="6381" xr:uid="{30D855BB-35B2-4AD9-91EF-9EE17B1E73C9}"/>
    <cellStyle name="Note 2 2 2 5" xfId="6382" xr:uid="{8F6AE4F7-402F-45E8-97A3-DB7E668D679B}"/>
    <cellStyle name="Note 2 2 2 6" xfId="6383" xr:uid="{25C6387A-F46A-4C6B-BD31-7E3B89EE5CEF}"/>
    <cellStyle name="Note 2 2 2_Exist Trunk Assets - Ferry" xfId="9516" xr:uid="{4D74765F-0C53-4716-92D9-58836E97C6A9}"/>
    <cellStyle name="Note 2 2 3" xfId="6384" xr:uid="{F3E8212F-C216-4C5E-83E4-8BBBAD257C30}"/>
    <cellStyle name="Note 2 2 3 2" xfId="6385" xr:uid="{E64C8D45-411E-47F7-8583-2A1CB5E263D3}"/>
    <cellStyle name="Note 2 2 3_Exist Trunk Assets - Ferry" xfId="9519" xr:uid="{B3C6AE46-3563-411E-AEB3-2666C6752A0D}"/>
    <cellStyle name="Note 2 2 4" xfId="6386" xr:uid="{948C0707-9AA5-44DE-B4E7-0787FA92DC1D}"/>
    <cellStyle name="Note 2 2 4 2" xfId="6387" xr:uid="{1AC66DDE-8DCC-4F78-8AF0-803531DFF071}"/>
    <cellStyle name="Note 2 2 4_Exist Trunk Assets - Ferry" xfId="9520" xr:uid="{BEE52288-A1E9-41C6-B2EA-7D5F820B6EF1}"/>
    <cellStyle name="Note 2 2 5" xfId="6388" xr:uid="{27922E14-1CD8-4140-A3BF-DFFCB97779A9}"/>
    <cellStyle name="Note 2 2 6" xfId="6389" xr:uid="{D1C66C6E-654B-4155-9AC5-79ABE7D4FCF9}"/>
    <cellStyle name="Note 2 2 7" xfId="6390" xr:uid="{C2562E17-BB38-438A-BC3B-48E149CBBB64}"/>
    <cellStyle name="Note 2 2_Exist Trunk Assets - Ferry" xfId="9515" xr:uid="{F0B8AE13-18A1-41D1-BF67-9FE25ECB2C46}"/>
    <cellStyle name="Note 2 3" xfId="1597" xr:uid="{5852779F-65F4-48DF-8BB5-09C75961E704}"/>
    <cellStyle name="Note 2 3 2" xfId="1598" xr:uid="{D584B25D-C232-4A5E-8DD2-951F0236ED10}"/>
    <cellStyle name="Note 2 3 2 2" xfId="6391" xr:uid="{0001A18C-04C4-4E99-857C-381F6AF58EBE}"/>
    <cellStyle name="Note 2 3 2 2 2" xfId="6392" xr:uid="{E36051CD-DEF8-4FAF-9750-3AD09F6A8035}"/>
    <cellStyle name="Note 2 3 2 2_Exist Trunk Assets - Ferry" xfId="9523" xr:uid="{B822D1D4-DE0D-49B2-9E66-F7AA7FD3A49C}"/>
    <cellStyle name="Note 2 3 2 3" xfId="6393" xr:uid="{402AB05D-DFC3-4A1F-B61E-D6961A1A562B}"/>
    <cellStyle name="Note 2 3 2 3 2" xfId="6394" xr:uid="{F84A83E5-625A-4971-8C53-6939C28A065B}"/>
    <cellStyle name="Note 2 3 2 3_Exist Trunk Assets - Ferry" xfId="9524" xr:uid="{73C57B5B-A63C-461D-989B-9E363C16E3C7}"/>
    <cellStyle name="Note 2 3 2 4" xfId="6395" xr:uid="{41898EE9-DB72-42D1-9A61-87A321C021DF}"/>
    <cellStyle name="Note 2 3 2 5" xfId="6396" xr:uid="{36BAE6DA-8817-4573-831B-CBE6B60D03A2}"/>
    <cellStyle name="Note 2 3 2 6" xfId="6397" xr:uid="{A892E4C0-7606-411E-8349-9B0AFAAEF8D1}"/>
    <cellStyle name="Note 2 3 2_Exist Trunk Assets - Ferry" xfId="9522" xr:uid="{2C214EBD-8F0F-4B13-9DA3-876BF57407FE}"/>
    <cellStyle name="Note 2 3 3" xfId="6398" xr:uid="{765A8A3F-D293-4091-A1B6-EEBADA09F891}"/>
    <cellStyle name="Note 2 3 3 2" xfId="6399" xr:uid="{378F6CDC-2182-410E-9B6E-F8712935BA4D}"/>
    <cellStyle name="Note 2 3 3_Exist Trunk Assets - Ferry" xfId="9525" xr:uid="{33E8F83A-528C-4D06-8F4E-71E2A2C7DE10}"/>
    <cellStyle name="Note 2 3 4" xfId="6400" xr:uid="{C0FF0747-C7CD-40C9-9DDA-1550EEE9CCF3}"/>
    <cellStyle name="Note 2 3 4 2" xfId="6401" xr:uid="{79D12745-544F-40F5-BA3C-52913B64FE8B}"/>
    <cellStyle name="Note 2 3 4_Exist Trunk Assets - Ferry" xfId="9526" xr:uid="{201F9ACD-F944-4BAA-8C51-7E5FDF46F912}"/>
    <cellStyle name="Note 2 3 5" xfId="6402" xr:uid="{C97F6254-6BB5-4FD8-BECC-6F0AC6EB5726}"/>
    <cellStyle name="Note 2 3 6" xfId="6403" xr:uid="{3134204D-D150-403C-A9AF-5695D5017BB1}"/>
    <cellStyle name="Note 2 3 7" xfId="6404" xr:uid="{EC9A27E7-9C9B-4B3E-9914-1AFB399C1DF3}"/>
    <cellStyle name="Note 2 3_Exist Trunk Assets - Ferry" xfId="9521" xr:uid="{D18BCF90-6A18-407B-B21C-2C224098D3D0}"/>
    <cellStyle name="Note 2 4" xfId="1599" xr:uid="{6C088D3F-C100-4C1E-9E1E-80001D166D9C}"/>
    <cellStyle name="Note 2 4 2" xfId="1600" xr:uid="{B5DAA6D3-9604-4D38-9D6E-4386EB885861}"/>
    <cellStyle name="Note 2 4 2 2" xfId="6405" xr:uid="{7647C2F8-AD72-4362-BA30-9FF63079526A}"/>
    <cellStyle name="Note 2 4 2 2 2" xfId="6406" xr:uid="{A649E121-BB05-4E0B-A791-32C17572A956}"/>
    <cellStyle name="Note 2 4 2 2_Exist Trunk Assets - Ferry" xfId="9529" xr:uid="{5666CD46-0EC1-406F-8815-A389CEC611E6}"/>
    <cellStyle name="Note 2 4 2 3" xfId="6407" xr:uid="{9E0E69A0-7E3A-42B0-A6B1-FD6E7A5878E3}"/>
    <cellStyle name="Note 2 4 2 3 2" xfId="6408" xr:uid="{D89A87C7-3F0B-42AC-8F76-7678FBACA65C}"/>
    <cellStyle name="Note 2 4 2 3_Exist Trunk Assets - Ferry" xfId="9530" xr:uid="{8A0A7ED9-18FA-4E6B-9CDB-919C21D262AD}"/>
    <cellStyle name="Note 2 4 2 4" xfId="6409" xr:uid="{125FA15A-B02E-4C44-99FB-F75E2163EDB4}"/>
    <cellStyle name="Note 2 4 2 5" xfId="6410" xr:uid="{09479749-D07C-4493-89F3-68AFC2B0FA91}"/>
    <cellStyle name="Note 2 4 2 6" xfId="6411" xr:uid="{53534397-451E-4F2E-B5F5-DB7DB470816F}"/>
    <cellStyle name="Note 2 4 2_Exist Trunk Assets - Ferry" xfId="9528" xr:uid="{0749726D-FD16-4BD2-A364-3273776668B1}"/>
    <cellStyle name="Note 2 4 3" xfId="6412" xr:uid="{CE4B00A9-E8AE-4B09-91B8-517923845FAF}"/>
    <cellStyle name="Note 2 4 3 2" xfId="6413" xr:uid="{A3356031-ABEA-46BA-957C-93FB93B07928}"/>
    <cellStyle name="Note 2 4 3_Exist Trunk Assets - Ferry" xfId="9531" xr:uid="{A803B818-9727-4043-8B41-0A75E5FB0459}"/>
    <cellStyle name="Note 2 4 4" xfId="6414" xr:uid="{9053A36F-551B-445F-BB28-CFF7B487E2C7}"/>
    <cellStyle name="Note 2 4 4 2" xfId="6415" xr:uid="{1808808C-41C8-450E-B29F-43B0F6EA658E}"/>
    <cellStyle name="Note 2 4 4_Exist Trunk Assets - Ferry" xfId="9532" xr:uid="{B0AE5D97-3938-4303-8076-95D4B5EF7781}"/>
    <cellStyle name="Note 2 4 5" xfId="6416" xr:uid="{326A3F95-50A1-4CF7-BCAA-D413883F4BEA}"/>
    <cellStyle name="Note 2 4 6" xfId="6417" xr:uid="{09C6C8F4-0270-4D93-BB60-F0760615D661}"/>
    <cellStyle name="Note 2 4 7" xfId="6418" xr:uid="{AF948E52-A5A0-4E04-AE28-297C5CB0EEAE}"/>
    <cellStyle name="Note 2 4_Exist Trunk Assets - Ferry" xfId="9527" xr:uid="{B1636A21-5A68-4DD6-A8BC-A49C08F6E7A5}"/>
    <cellStyle name="Note 2 5" xfId="1601" xr:uid="{B9FAACEA-6194-4891-8165-5C359081DD96}"/>
    <cellStyle name="Note 2 5 2" xfId="6419" xr:uid="{5B4B32E4-12C7-4176-8596-63D5DD496117}"/>
    <cellStyle name="Note 2 5 2 2" xfId="6420" xr:uid="{82B3F4B0-6073-4866-AC5B-BA189900AC43}"/>
    <cellStyle name="Note 2 5 2_Exist Trunk Assets - Ferry" xfId="9534" xr:uid="{B5A96811-0001-4F5F-8BBE-A87A28467F35}"/>
    <cellStyle name="Note 2 5 3" xfId="6421" xr:uid="{A362196E-83A8-4E0B-8AE2-A5A036CD17D4}"/>
    <cellStyle name="Note 2 5 3 2" xfId="6422" xr:uid="{0C70BABF-3511-4517-BED5-E2562B797D27}"/>
    <cellStyle name="Note 2 5 3_Exist Trunk Assets - Ferry" xfId="9535" xr:uid="{B3BE2427-165A-422B-BDE5-01B9F1798731}"/>
    <cellStyle name="Note 2 5 4" xfId="6423" xr:uid="{347902BD-8BDE-42C9-B6FE-D18423D59265}"/>
    <cellStyle name="Note 2 5 5" xfId="6424" xr:uid="{EB7ECA83-1665-407A-9D34-B46205128505}"/>
    <cellStyle name="Note 2 5 6" xfId="6425" xr:uid="{088FFDD8-F23A-4F51-94F3-1A56B6345640}"/>
    <cellStyle name="Note 2 5_Exist Trunk Assets - Ferry" xfId="9533" xr:uid="{5F93512A-A8F1-4A83-8596-F1D1CCEE7476}"/>
    <cellStyle name="Note 2 6" xfId="2178" xr:uid="{479BB766-6397-45A3-B8BC-1D7479ACAEF6}"/>
    <cellStyle name="Note 2 6 2" xfId="6426" xr:uid="{DFFB7FA8-2FD6-45DC-AC6C-287387B002E1}"/>
    <cellStyle name="Note 2 6 3" xfId="6427" xr:uid="{055484F8-728C-4D2E-8578-9BE83876B471}"/>
    <cellStyle name="Note 2 6_Exist Trunk Assets - Ferry" xfId="9536" xr:uid="{48C97C1B-3DD2-4D5A-B7EF-852C1CC3BD1A}"/>
    <cellStyle name="Note 2 7" xfId="6428" xr:uid="{EF43755B-EDFE-4A05-AC8A-8B392F40E253}"/>
    <cellStyle name="Note 2 7 2" xfId="6429" xr:uid="{981E3875-125A-4A0F-B17D-19A353DB0FED}"/>
    <cellStyle name="Note 2 7_Exist Trunk Assets - Ferry" xfId="9537" xr:uid="{89635CD6-17B1-4127-BE05-223C0AFD604D}"/>
    <cellStyle name="Note 2 8" xfId="6430" xr:uid="{7D54E1A2-7992-4274-B1F5-67BB128223A2}"/>
    <cellStyle name="Note 2 8 2" xfId="6431" xr:uid="{9BE8E41B-A237-4B19-BA54-AA602AD7E036}"/>
    <cellStyle name="Note 2 8_Exist Trunk Assets - Ferry" xfId="9538" xr:uid="{0C8CF8B1-3116-4D59-9BE1-83B907886295}"/>
    <cellStyle name="Note 2 9" xfId="6432" xr:uid="{C44E62C6-F90A-4884-BEF2-F061F17CC7FB}"/>
    <cellStyle name="Note 2_Exist Trunk Assets - Ferry" xfId="9514" xr:uid="{87F4DFF1-8849-4A2B-B781-5075CD0C6305}"/>
    <cellStyle name="Note 20" xfId="1602" xr:uid="{5D649ED8-92B3-47FD-B90C-DC31FC1725D9}"/>
    <cellStyle name="Note 20 2" xfId="1603" xr:uid="{60402AA0-B8F0-43CD-A2E8-AB1DFF486B00}"/>
    <cellStyle name="Note 20 2 2" xfId="6433" xr:uid="{AF1274EF-2DA2-41DF-8279-D41C35C04A70}"/>
    <cellStyle name="Note 20 2 2 2" xfId="6434" xr:uid="{A06AEEF2-211F-47BB-8F3F-5FDC3D850CF4}"/>
    <cellStyle name="Note 20 2 2_Exist Trunk Assets - Ferry" xfId="9541" xr:uid="{A794ADBC-D05C-46F6-86F3-82DDBCC921DD}"/>
    <cellStyle name="Note 20 2 3" xfId="6435" xr:uid="{69463B1F-F275-4A3F-8BC8-901A34EE2BE3}"/>
    <cellStyle name="Note 20 2 3 2" xfId="6436" xr:uid="{CA544A1E-40BA-4ABD-A0F3-51CEF72EEFCA}"/>
    <cellStyle name="Note 20 2 3_Exist Trunk Assets - Ferry" xfId="9542" xr:uid="{5866C015-30F6-4E72-84A2-22A9555B5506}"/>
    <cellStyle name="Note 20 2 4" xfId="6437" xr:uid="{CDFE87B2-2E85-4105-ACA3-11C4662D47D8}"/>
    <cellStyle name="Note 20 2 5" xfId="6438" xr:uid="{40930E15-D235-4501-B0B5-7D554F9BD247}"/>
    <cellStyle name="Note 20 2 6" xfId="6439" xr:uid="{6007E232-5AC9-44B8-87A0-68B2E7DA4788}"/>
    <cellStyle name="Note 20 2_Exist Trunk Assets - Ferry" xfId="9540" xr:uid="{88A92009-73B3-4766-B7FC-84E949A09754}"/>
    <cellStyle name="Note 20 3" xfId="6440" xr:uid="{073425C6-2D89-4577-9AE5-84E4579821BC}"/>
    <cellStyle name="Note 20 3 2" xfId="6441" xr:uid="{A2EFA606-F224-4964-A321-E01E81BA1746}"/>
    <cellStyle name="Note 20 3_Exist Trunk Assets - Ferry" xfId="9543" xr:uid="{2A417D9C-BA44-4344-A494-4FFB3488B90D}"/>
    <cellStyle name="Note 20 4" xfId="6442" xr:uid="{9BCB27C3-75EA-4660-9A64-AF91B516B3DB}"/>
    <cellStyle name="Note 20 4 2" xfId="6443" xr:uid="{7C8D4B1D-03B1-4A3E-BAAC-93F4CFAD9208}"/>
    <cellStyle name="Note 20 4_Exist Trunk Assets - Ferry" xfId="9544" xr:uid="{DF7A51CB-6DC6-4A0C-A3A7-B9DDB0D438DE}"/>
    <cellStyle name="Note 20 5" xfId="6444" xr:uid="{5B3D9A16-020A-49D7-A45E-D2D84F6C549D}"/>
    <cellStyle name="Note 20 6" xfId="6445" xr:uid="{3BF84B00-14EF-4A40-8BDC-33810742CEE0}"/>
    <cellStyle name="Note 20 7" xfId="6446" xr:uid="{85075AAF-E1F8-44C6-97DC-E100448F1AD2}"/>
    <cellStyle name="Note 20_Exist Trunk Assets - Ferry" xfId="9539" xr:uid="{300E6D05-7B0B-4355-8984-9EB74D526227}"/>
    <cellStyle name="Note 21" xfId="1604" xr:uid="{BEEECE6A-4289-42A0-9B38-8E7293DF55F6}"/>
    <cellStyle name="Note 21 2" xfId="1605" xr:uid="{65ECF79E-EA8D-4C12-A6DD-349AA2ACE9DC}"/>
    <cellStyle name="Note 21 2 2" xfId="6447" xr:uid="{CFA9682A-16E5-445D-8D2C-3B174B7B2789}"/>
    <cellStyle name="Note 21 2 2 2" xfId="6448" xr:uid="{D391A264-476B-4B9F-B426-A6405627DEA1}"/>
    <cellStyle name="Note 21 2 2_Exist Trunk Assets - Ferry" xfId="9547" xr:uid="{BB49E04F-4DF7-420B-9373-F27870380D0A}"/>
    <cellStyle name="Note 21 2 3" xfId="6449" xr:uid="{802DA5A9-BE62-4F10-B1C1-0A1E83904B7E}"/>
    <cellStyle name="Note 21 2 3 2" xfId="6450" xr:uid="{1581F0CF-E41C-459A-9C92-7BD78B9C7A73}"/>
    <cellStyle name="Note 21 2 3_Exist Trunk Assets - Ferry" xfId="9548" xr:uid="{F0E40B95-F2C2-409A-B6F1-7447B757226F}"/>
    <cellStyle name="Note 21 2 4" xfId="6451" xr:uid="{D19FCD80-AD46-4CF6-BB2B-EBC28625D76B}"/>
    <cellStyle name="Note 21 2 5" xfId="6452" xr:uid="{A7373462-5EFC-41AF-B281-288031B9D645}"/>
    <cellStyle name="Note 21 2 6" xfId="6453" xr:uid="{7DE25AF3-BB45-4B5A-999E-903D3DB61A33}"/>
    <cellStyle name="Note 21 2_Exist Trunk Assets - Ferry" xfId="9546" xr:uid="{57C5CEB8-E83E-453A-8D93-22933968A983}"/>
    <cellStyle name="Note 21 3" xfId="6454" xr:uid="{DCCFAFC0-F04C-4990-A70C-94496712A4E5}"/>
    <cellStyle name="Note 21 3 2" xfId="6455" xr:uid="{9EA9F5E6-3E3D-4E17-B11D-946D8268C76F}"/>
    <cellStyle name="Note 21 3_Exist Trunk Assets - Ferry" xfId="9549" xr:uid="{3D021694-A067-4CF3-BDF6-82E1A6776F6C}"/>
    <cellStyle name="Note 21 4" xfId="6456" xr:uid="{CF40E56A-8CB7-45BE-A3D1-3D8B191E5BEA}"/>
    <cellStyle name="Note 21 4 2" xfId="6457" xr:uid="{174F6D90-A023-43B9-AA60-DB48600A6B26}"/>
    <cellStyle name="Note 21 4_Exist Trunk Assets - Ferry" xfId="9550" xr:uid="{167FA7BB-29FD-4646-8CD9-D79C412C6328}"/>
    <cellStyle name="Note 21 5" xfId="6458" xr:uid="{65C90610-A7DC-4959-A949-A3A0A027E690}"/>
    <cellStyle name="Note 21 6" xfId="6459" xr:uid="{B98DCDE9-69E3-426B-AF1A-423B584D5D02}"/>
    <cellStyle name="Note 21 7" xfId="6460" xr:uid="{442010F0-5F02-49C9-AA4F-3EDED5EFCB21}"/>
    <cellStyle name="Note 21_Exist Trunk Assets - Ferry" xfId="9545" xr:uid="{44B7364C-7FEE-496B-93E9-FCEB15E9F2A0}"/>
    <cellStyle name="Note 22" xfId="1606" xr:uid="{FA014ED0-93EE-45B5-9591-D9E5FEC56C72}"/>
    <cellStyle name="Note 22 2" xfId="1607" xr:uid="{902CE5F1-E929-4000-8D20-9E24F3C77ABE}"/>
    <cellStyle name="Note 22 2 2" xfId="6461" xr:uid="{9CE1A031-8E65-4422-819E-5C08BB51C1C0}"/>
    <cellStyle name="Note 22 2 2 2" xfId="6462" xr:uid="{204041AC-7D08-4C83-8403-D8720D91FFC1}"/>
    <cellStyle name="Note 22 2 2_Exist Trunk Assets - Ferry" xfId="9553" xr:uid="{754685FE-EDBD-473A-971F-7A97D71ED666}"/>
    <cellStyle name="Note 22 2 3" xfId="6463" xr:uid="{14E7E461-1424-4CE4-B70A-770951BB2354}"/>
    <cellStyle name="Note 22 2 3 2" xfId="6464" xr:uid="{1766502D-C80F-4D9B-A834-A287D468D75C}"/>
    <cellStyle name="Note 22 2 3_Exist Trunk Assets - Ferry" xfId="9554" xr:uid="{1FBF85C7-4291-4B50-88BA-221C2F095A6A}"/>
    <cellStyle name="Note 22 2 4" xfId="6465" xr:uid="{FA229E8B-8400-4334-97DC-914F4CD787FA}"/>
    <cellStyle name="Note 22 2 5" xfId="6466" xr:uid="{7157E2CE-831B-404D-AB1C-3FC8826100F9}"/>
    <cellStyle name="Note 22 2 6" xfId="6467" xr:uid="{30D6F586-D27F-4B32-822B-0B2009AFEAC1}"/>
    <cellStyle name="Note 22 2_Exist Trunk Assets - Ferry" xfId="9552" xr:uid="{568299A9-9459-456F-A755-1760439FDE24}"/>
    <cellStyle name="Note 22 3" xfId="6468" xr:uid="{633C60F1-955B-4974-ABC3-4B27E1E1C3E6}"/>
    <cellStyle name="Note 22 3 2" xfId="6469" xr:uid="{578ECA97-99FF-46A1-AE7E-7C471EFD95DD}"/>
    <cellStyle name="Note 22 3_Exist Trunk Assets - Ferry" xfId="9555" xr:uid="{F60D3B66-3753-4A1B-97DB-17AB20F8EEFB}"/>
    <cellStyle name="Note 22 4" xfId="6470" xr:uid="{83CEAADD-26EF-4113-846E-97BF74AC3CF6}"/>
    <cellStyle name="Note 22 4 2" xfId="6471" xr:uid="{CDDAE297-149C-4F44-8FC7-D1EDE3572C88}"/>
    <cellStyle name="Note 22 4_Exist Trunk Assets - Ferry" xfId="9556" xr:uid="{6EEF2948-6BD4-4635-BC92-CFA075EABFEA}"/>
    <cellStyle name="Note 22 5" xfId="6472" xr:uid="{B3FF4D6D-3FAD-42A9-A138-921DED5F6137}"/>
    <cellStyle name="Note 22 6" xfId="6473" xr:uid="{5017B4B1-19AD-4CEB-984E-CEB546ECEBCD}"/>
    <cellStyle name="Note 22 7" xfId="6474" xr:uid="{E5CF91C1-AA22-4EEF-BFBD-33D08E31DCB2}"/>
    <cellStyle name="Note 22_Exist Trunk Assets - Ferry" xfId="9551" xr:uid="{D5A4E023-4352-4C12-BEBE-AD857E3A58C8}"/>
    <cellStyle name="Note 23" xfId="1608" xr:uid="{36EBF9FB-44FC-465A-B3D1-36FD0B186C4F}"/>
    <cellStyle name="Note 23 2" xfId="1609" xr:uid="{D2F9BA18-7607-4813-AFE8-8A2BB5C9A39B}"/>
    <cellStyle name="Note 23 2 2" xfId="6475" xr:uid="{2DB3D043-1249-4BBF-ADD1-23071D290710}"/>
    <cellStyle name="Note 23 2 2 2" xfId="6476" xr:uid="{2FEF4DC8-BFF5-407B-B7B4-8C7CB0E93702}"/>
    <cellStyle name="Note 23 2 2_Exist Trunk Assets - Ferry" xfId="9559" xr:uid="{BB8D41C4-B438-4D63-916B-6AE833210109}"/>
    <cellStyle name="Note 23 2 3" xfId="6477" xr:uid="{7CD97F22-8158-4E1E-A30E-243F17A0A643}"/>
    <cellStyle name="Note 23 2 3 2" xfId="6478" xr:uid="{030F264B-E0A7-4000-9E0B-186563F2B466}"/>
    <cellStyle name="Note 23 2 3_Exist Trunk Assets - Ferry" xfId="9560" xr:uid="{A865072D-6BD1-45C9-9631-3EAE96A6BEAA}"/>
    <cellStyle name="Note 23 2 4" xfId="6479" xr:uid="{D9AC1D55-43D3-4A8D-8F3D-49789C050BB2}"/>
    <cellStyle name="Note 23 2 5" xfId="6480" xr:uid="{6707895E-8AF4-4826-B235-CC7D3BB00CFE}"/>
    <cellStyle name="Note 23 2 6" xfId="6481" xr:uid="{60B0EFD5-EC4D-4223-8546-AE08073A3D7D}"/>
    <cellStyle name="Note 23 2_Exist Trunk Assets - Ferry" xfId="9558" xr:uid="{55E87E70-9328-4E56-B1AF-D2549DEB9A3F}"/>
    <cellStyle name="Note 23 3" xfId="6482" xr:uid="{497C29C1-6309-43F3-A267-601CE1334BFB}"/>
    <cellStyle name="Note 23 3 2" xfId="6483" xr:uid="{C102AD9A-8482-4550-99A0-18CFC4F2B73C}"/>
    <cellStyle name="Note 23 3_Exist Trunk Assets - Ferry" xfId="9561" xr:uid="{D8D7B0EB-A100-4EF7-B283-93A9D4DF1064}"/>
    <cellStyle name="Note 23 4" xfId="6484" xr:uid="{50F3282D-14E5-4AE8-9064-0E0A9245495C}"/>
    <cellStyle name="Note 23 4 2" xfId="6485" xr:uid="{D3FE3F1A-CB01-43E1-BFFD-506B92FADBB6}"/>
    <cellStyle name="Note 23 4_Exist Trunk Assets - Ferry" xfId="9562" xr:uid="{03E0B0DF-7DFE-40E2-80D6-079A4F355470}"/>
    <cellStyle name="Note 23 5" xfId="6486" xr:uid="{BA6BB539-2BDD-4D8D-B8BE-93A42C4B7D68}"/>
    <cellStyle name="Note 23 6" xfId="6487" xr:uid="{F28711A6-E371-49E8-B682-21B8451D9C06}"/>
    <cellStyle name="Note 23 7" xfId="6488" xr:uid="{4F78396C-66CB-433D-920D-DC09FFE07251}"/>
    <cellStyle name="Note 23_Exist Trunk Assets - Ferry" xfId="9557" xr:uid="{C4EEA372-67B9-442A-B9E9-FF11D09B14EA}"/>
    <cellStyle name="Note 24" xfId="1610" xr:uid="{2E15E84C-B7F2-46AB-B971-84A13A55C0A7}"/>
    <cellStyle name="Note 24 2" xfId="1611" xr:uid="{16776215-CFFF-4B1D-9BC9-19D200723046}"/>
    <cellStyle name="Note 24 2 2" xfId="6489" xr:uid="{85BE23FD-A796-4B1D-91CF-7C08D5EA677B}"/>
    <cellStyle name="Note 24 2 2 2" xfId="6490" xr:uid="{413F208A-4ADC-46E0-BEFD-5128A7D1C738}"/>
    <cellStyle name="Note 24 2 2_Exist Trunk Assets - Ferry" xfId="9565" xr:uid="{5A20095E-2597-4B16-922C-9DBF063B6A9F}"/>
    <cellStyle name="Note 24 2 3" xfId="6491" xr:uid="{85A523FD-77C8-4B15-8CFD-614B8DFCC368}"/>
    <cellStyle name="Note 24 2 3 2" xfId="6492" xr:uid="{AF05B6E1-72D6-46CC-9833-CA36A1BA792F}"/>
    <cellStyle name="Note 24 2 3_Exist Trunk Assets - Ferry" xfId="9566" xr:uid="{E379DF2F-3C3B-40B2-B6A4-9F1BC04942EA}"/>
    <cellStyle name="Note 24 2 4" xfId="6493" xr:uid="{CEA68194-1931-4905-8445-A22D17D0D886}"/>
    <cellStyle name="Note 24 2 5" xfId="6494" xr:uid="{2AFB6465-68C5-4C52-A5B2-70D98D6FBFBA}"/>
    <cellStyle name="Note 24 2 6" xfId="6495" xr:uid="{601FDDFD-7811-4103-8D6E-212FB4471B06}"/>
    <cellStyle name="Note 24 2_Exist Trunk Assets - Ferry" xfId="9564" xr:uid="{0928C578-07A7-4B9F-B1AD-A275863A5456}"/>
    <cellStyle name="Note 24 3" xfId="6496" xr:uid="{9C4A379E-7D3F-4CDB-9F6A-53DBF3DED733}"/>
    <cellStyle name="Note 24 3 2" xfId="6497" xr:uid="{AAEE6B08-44BD-4770-8140-7F1CECD8D41B}"/>
    <cellStyle name="Note 24 3_Exist Trunk Assets - Ferry" xfId="9567" xr:uid="{F877D3E6-55D0-4A1F-8F41-0C6027A65CBC}"/>
    <cellStyle name="Note 24 4" xfId="6498" xr:uid="{F1040204-E8FF-49C7-9576-F1C7C106EA71}"/>
    <cellStyle name="Note 24 4 2" xfId="6499" xr:uid="{F2250899-C701-4753-B4C8-BD9177DA87A0}"/>
    <cellStyle name="Note 24 4_Exist Trunk Assets - Ferry" xfId="9568" xr:uid="{7DF5E13E-10BA-449C-8A85-55D40DD37A2F}"/>
    <cellStyle name="Note 24 5" xfId="6500" xr:uid="{71EBAD39-BED2-4296-81A5-0EEACB5261DA}"/>
    <cellStyle name="Note 24 6" xfId="6501" xr:uid="{89A0ED8E-1122-41BA-B8BA-ABE58C1DD673}"/>
    <cellStyle name="Note 24 7" xfId="6502" xr:uid="{2859A0CA-C531-4770-B338-14E4B3CBC239}"/>
    <cellStyle name="Note 24_Exist Trunk Assets - Ferry" xfId="9563" xr:uid="{C86E798D-39C9-45E4-A70F-7796C77C8D98}"/>
    <cellStyle name="Note 25" xfId="1612" xr:uid="{DA5E2801-6087-49C1-8C0C-C808EEC77B80}"/>
    <cellStyle name="Note 25 2" xfId="1613" xr:uid="{25787F21-E619-445C-ACBE-8025D1D9465C}"/>
    <cellStyle name="Note 25 2 2" xfId="6503" xr:uid="{2F3039BC-ADDF-45C9-922A-2A7DC7879573}"/>
    <cellStyle name="Note 25 2 2 2" xfId="6504" xr:uid="{DB0BC7F3-1317-48EB-9926-096B4059DCC7}"/>
    <cellStyle name="Note 25 2 2_Exist Trunk Assets - Ferry" xfId="9571" xr:uid="{099D7EA5-C9B8-422C-AED5-0613D7C944CC}"/>
    <cellStyle name="Note 25 2 3" xfId="6505" xr:uid="{DE88068C-7F45-46A3-A4A8-FC51C833E611}"/>
    <cellStyle name="Note 25 2 3 2" xfId="6506" xr:uid="{8E645FD2-01DE-4A46-9E1D-7EBB2803D2DD}"/>
    <cellStyle name="Note 25 2 3_Exist Trunk Assets - Ferry" xfId="9572" xr:uid="{9E022202-285F-48A8-83F1-81955D10F769}"/>
    <cellStyle name="Note 25 2 4" xfId="6507" xr:uid="{86318D34-5E01-4232-ADC9-E99F82EBF1B2}"/>
    <cellStyle name="Note 25 2 5" xfId="6508" xr:uid="{24C82682-AD03-43BB-8C0D-1192362D41CF}"/>
    <cellStyle name="Note 25 2 6" xfId="6509" xr:uid="{07015B0C-30C1-461C-B3F6-F83061DC1B06}"/>
    <cellStyle name="Note 25 2_Exist Trunk Assets - Ferry" xfId="9570" xr:uid="{ABC3F4A1-48CC-408C-84D9-09A66AAEA19A}"/>
    <cellStyle name="Note 25 3" xfId="6510" xr:uid="{C5818F0A-F22E-4CA7-92F7-57F3CC1F9CE2}"/>
    <cellStyle name="Note 25 3 2" xfId="6511" xr:uid="{2E3CADA9-71AC-4CC3-B01C-C17A50E32A93}"/>
    <cellStyle name="Note 25 3_Exist Trunk Assets - Ferry" xfId="9573" xr:uid="{FC39D76E-B7B3-4BD4-BD9E-B0D8B7ECF034}"/>
    <cellStyle name="Note 25 4" xfId="6512" xr:uid="{5CB4AD2B-3DC3-441B-BA67-3E7D256958C6}"/>
    <cellStyle name="Note 25 4 2" xfId="6513" xr:uid="{DE81929D-6CC6-4072-B61C-2310860F0CFE}"/>
    <cellStyle name="Note 25 4_Exist Trunk Assets - Ferry" xfId="9574" xr:uid="{2DD08FB7-A93E-47DF-83DB-831784598B95}"/>
    <cellStyle name="Note 25 5" xfId="6514" xr:uid="{2F802A44-796C-4A94-B037-C4F539A5E29C}"/>
    <cellStyle name="Note 25 6" xfId="6515" xr:uid="{8C9FA929-8DB4-4EF9-A2A5-D23F768714ED}"/>
    <cellStyle name="Note 25 7" xfId="6516" xr:uid="{20CEF05C-E2FF-4982-950A-771E493BDF99}"/>
    <cellStyle name="Note 25_Exist Trunk Assets - Ferry" xfId="9569" xr:uid="{61781FED-DB4F-492B-B4E6-831A0FD9504C}"/>
    <cellStyle name="Note 26" xfId="1614" xr:uid="{8BD10ACE-3DD9-41D3-B842-F31A1E1D1EF2}"/>
    <cellStyle name="Note 26 2" xfId="1615" xr:uid="{84088E92-9F0E-4A3E-9A60-EF4970CCEF70}"/>
    <cellStyle name="Note 26 2 2" xfId="6517" xr:uid="{23613478-C0B8-4FAF-8E61-BEB1F46AD688}"/>
    <cellStyle name="Note 26 2 2 2" xfId="6518" xr:uid="{694E18C2-1116-4B8F-9CD0-C488C1787538}"/>
    <cellStyle name="Note 26 2 2_Exist Trunk Assets - Ferry" xfId="9577" xr:uid="{27E7D537-C05C-409D-A3B4-3436CD4C2631}"/>
    <cellStyle name="Note 26 2 3" xfId="6519" xr:uid="{0CA91AF8-035C-443E-AE81-C38DD5C2B4DF}"/>
    <cellStyle name="Note 26 2 3 2" xfId="6520" xr:uid="{B60E022F-2118-4ADA-9B6E-9EC4555C9B32}"/>
    <cellStyle name="Note 26 2 3_Exist Trunk Assets - Ferry" xfId="9578" xr:uid="{8E398331-5914-4D53-99E1-9F6D27FBEEC8}"/>
    <cellStyle name="Note 26 2 4" xfId="6521" xr:uid="{6E1E3117-A343-44E2-987A-D3864713FFF5}"/>
    <cellStyle name="Note 26 2 5" xfId="6522" xr:uid="{2EDDB3D8-D5EA-4E7F-8A7F-DDEE4180BCF3}"/>
    <cellStyle name="Note 26 2 6" xfId="6523" xr:uid="{69D5ABFA-62C0-4630-AF38-44F96E87341E}"/>
    <cellStyle name="Note 26 2_Exist Trunk Assets - Ferry" xfId="9576" xr:uid="{7BD3E53B-FF0D-4A47-9B06-7605965EB5DC}"/>
    <cellStyle name="Note 26 3" xfId="6524" xr:uid="{B51C70E3-042D-4D9F-B597-BF108034B381}"/>
    <cellStyle name="Note 26 3 2" xfId="6525" xr:uid="{07F23592-3DEE-45BE-8F47-4F416B0A7B6F}"/>
    <cellStyle name="Note 26 3_Exist Trunk Assets - Ferry" xfId="9579" xr:uid="{E25CCA46-2B67-47B5-8B2D-325E90807025}"/>
    <cellStyle name="Note 26 4" xfId="6526" xr:uid="{C2F6ADC9-66B0-46AD-88B5-468B40FE52EA}"/>
    <cellStyle name="Note 26 4 2" xfId="6527" xr:uid="{0AFB6CF7-7701-4C5E-95A1-AD77F70CDE04}"/>
    <cellStyle name="Note 26 4_Exist Trunk Assets - Ferry" xfId="9580" xr:uid="{F05CDFA2-251F-4D3C-A1A6-749CC1290DDD}"/>
    <cellStyle name="Note 26 5" xfId="6528" xr:uid="{2272D71F-D1D7-4A1A-968A-2628B1CBCC98}"/>
    <cellStyle name="Note 26 6" xfId="6529" xr:uid="{D5CF1DD5-E4B2-47D9-AACE-DB4CD40867BF}"/>
    <cellStyle name="Note 26 7" xfId="6530" xr:uid="{BBC77303-E896-4453-8EB5-5F416063BC7A}"/>
    <cellStyle name="Note 26_Exist Trunk Assets - Ferry" xfId="9575" xr:uid="{1519B041-8980-483F-AB88-7ACD23560ADF}"/>
    <cellStyle name="Note 27" xfId="1616" xr:uid="{57A2D795-6B67-4329-8DCA-869BB13188E1}"/>
    <cellStyle name="Note 27 2" xfId="1617" xr:uid="{39CA9BC1-FA72-4EA8-BF00-4953B39471FB}"/>
    <cellStyle name="Note 27 2 2" xfId="6531" xr:uid="{1FC6E637-AB7E-411F-8E13-FB86278436AD}"/>
    <cellStyle name="Note 27 2 2 2" xfId="6532" xr:uid="{917C9623-5F34-4750-9A35-9663ADD13D63}"/>
    <cellStyle name="Note 27 2 2_Exist Trunk Assets - Ferry" xfId="9583" xr:uid="{25E06BB3-594F-407E-8868-9AC3B09F5159}"/>
    <cellStyle name="Note 27 2 3" xfId="6533" xr:uid="{15C6B998-C27A-47E5-B0E9-5C2219518CE9}"/>
    <cellStyle name="Note 27 2 3 2" xfId="6534" xr:uid="{6DA510AD-A10E-4B84-B841-29A3D3B6FA14}"/>
    <cellStyle name="Note 27 2 3_Exist Trunk Assets - Ferry" xfId="9584" xr:uid="{6FB0C2C8-4E80-4F52-AF57-F29012B1F55F}"/>
    <cellStyle name="Note 27 2 4" xfId="6535" xr:uid="{9117FF77-219F-41A1-856C-7DDB90564C68}"/>
    <cellStyle name="Note 27 2 5" xfId="6536" xr:uid="{DA4D1E1D-31E8-49FD-A328-B0EAAE4C39B7}"/>
    <cellStyle name="Note 27 2 6" xfId="6537" xr:uid="{B924E75A-72DD-4E7D-B009-3C67B7286EE3}"/>
    <cellStyle name="Note 27 2_Exist Trunk Assets - Ferry" xfId="9582" xr:uid="{872A1A17-2C4D-439D-A13C-F216587CFA3C}"/>
    <cellStyle name="Note 27 3" xfId="6538" xr:uid="{2B3D33AC-10FF-48E5-AC2F-CFBB5D95362D}"/>
    <cellStyle name="Note 27 3 2" xfId="6539" xr:uid="{C846B4CD-5424-4CD5-8F5F-5DDA4F41C069}"/>
    <cellStyle name="Note 27 3_Exist Trunk Assets - Ferry" xfId="9585" xr:uid="{E3444B4B-0DEF-4D1B-8B65-27D98A9BACC8}"/>
    <cellStyle name="Note 27 4" xfId="6540" xr:uid="{47A4885D-9A09-4647-A68D-252F81C775C8}"/>
    <cellStyle name="Note 27 4 2" xfId="6541" xr:uid="{CC770907-BE15-4FD2-97C8-A882AAE80E04}"/>
    <cellStyle name="Note 27 4_Exist Trunk Assets - Ferry" xfId="9586" xr:uid="{CEF31FA5-66E0-4787-AEB1-730F211BE5AF}"/>
    <cellStyle name="Note 27 5" xfId="6542" xr:uid="{A7319F0F-DFCC-485F-8832-271221519127}"/>
    <cellStyle name="Note 27 6" xfId="6543" xr:uid="{51E32416-CF4C-4DFF-8F75-F84589C526BF}"/>
    <cellStyle name="Note 27 7" xfId="6544" xr:uid="{6971D276-D120-4B81-9F39-F2A15A3AE2D3}"/>
    <cellStyle name="Note 27_Exist Trunk Assets - Ferry" xfId="9581" xr:uid="{CFB140F9-AB34-4413-A09E-113873BBDCE4}"/>
    <cellStyle name="Note 28" xfId="1618" xr:uid="{44C652FA-D6E5-4583-9465-284EDF968B0F}"/>
    <cellStyle name="Note 28 2" xfId="1619" xr:uid="{983B6140-199F-4AB0-8D32-89A110F6D31A}"/>
    <cellStyle name="Note 28 2 2" xfId="6545" xr:uid="{4F6CADD1-274F-42A3-9979-0AB99B758128}"/>
    <cellStyle name="Note 28 2 2 2" xfId="6546" xr:uid="{A6810263-A9C2-4278-8518-BA0C9E3759A1}"/>
    <cellStyle name="Note 28 2 2_Exist Trunk Assets - Ferry" xfId="9589" xr:uid="{96135E8D-C061-4FE6-93D1-511E1EB743A8}"/>
    <cellStyle name="Note 28 2 3" xfId="6547" xr:uid="{7E70D133-3009-4B96-B6EE-32FFB91E7761}"/>
    <cellStyle name="Note 28 2 3 2" xfId="6548" xr:uid="{4E37660D-D09A-4257-B136-5B509B26AAF7}"/>
    <cellStyle name="Note 28 2 3_Exist Trunk Assets - Ferry" xfId="9590" xr:uid="{708EBFC7-D0D5-4247-B7BC-623F01398576}"/>
    <cellStyle name="Note 28 2 4" xfId="6549" xr:uid="{9E710EF5-8F9B-4039-BA92-6819BB18F3F9}"/>
    <cellStyle name="Note 28 2 5" xfId="6550" xr:uid="{425A6BB2-1558-4354-9DB4-B5063344159A}"/>
    <cellStyle name="Note 28 2 6" xfId="6551" xr:uid="{7EFEEAAD-9A27-4BB2-8C6F-9FAC33C4ECB7}"/>
    <cellStyle name="Note 28 2_Exist Trunk Assets - Ferry" xfId="9588" xr:uid="{CF6547B4-2409-42A9-925C-489708DEE0D9}"/>
    <cellStyle name="Note 28 3" xfId="6552" xr:uid="{54AD4F75-A8D2-49BE-93F5-8F9F490622FD}"/>
    <cellStyle name="Note 28 3 2" xfId="6553" xr:uid="{D34E3C38-3349-415D-AF72-DFA4976AF6B9}"/>
    <cellStyle name="Note 28 3_Exist Trunk Assets - Ferry" xfId="9591" xr:uid="{4D14CA89-6222-4A97-B17F-AEF26C9056D3}"/>
    <cellStyle name="Note 28 4" xfId="6554" xr:uid="{A0F6308E-7AED-4A6B-825E-4B2BBE815170}"/>
    <cellStyle name="Note 28 4 2" xfId="6555" xr:uid="{0A29C238-9321-40FB-B74D-3F010081C4E8}"/>
    <cellStyle name="Note 28 4_Exist Trunk Assets - Ferry" xfId="9592" xr:uid="{64DAD016-6D4B-4A09-90ED-2FAA5C30DE9B}"/>
    <cellStyle name="Note 28 5" xfId="6556" xr:uid="{6AFB5AD7-5BD1-4CA0-9327-D100E969838F}"/>
    <cellStyle name="Note 28 6" xfId="6557" xr:uid="{6C7490A7-8ACE-4852-BA36-16DB7685710C}"/>
    <cellStyle name="Note 28 7" xfId="6558" xr:uid="{0474F4BF-DBC7-43A1-B0A7-A48D005E7C27}"/>
    <cellStyle name="Note 28_Exist Trunk Assets - Ferry" xfId="9587" xr:uid="{63ABE985-5E09-4D6A-B9B9-6F8F6742B714}"/>
    <cellStyle name="Note 29" xfId="1620" xr:uid="{B0C47DB2-9DDA-4CF3-B849-4C7B09D639FE}"/>
    <cellStyle name="Note 29 2" xfId="1621" xr:uid="{6E2622E1-48B0-4822-8267-D9BEBD76EE3B}"/>
    <cellStyle name="Note 29 2 2" xfId="6559" xr:uid="{2EC24BDA-9C1A-4DA6-A3B1-F6278C0D37B0}"/>
    <cellStyle name="Note 29 2 2 2" xfId="6560" xr:uid="{372E6F4C-D4BC-462A-BF28-B9612BB5D7B9}"/>
    <cellStyle name="Note 29 2 2_Exist Trunk Assets - Ferry" xfId="9595" xr:uid="{F6C312F0-5255-4464-8DB0-6CA3423DD4AC}"/>
    <cellStyle name="Note 29 2 3" xfId="6561" xr:uid="{90EAB69A-4B97-460D-A0ED-013191DBBCC9}"/>
    <cellStyle name="Note 29 2 3 2" xfId="6562" xr:uid="{5FF702DA-EEBF-4AC9-A5FD-D39EAAEE889E}"/>
    <cellStyle name="Note 29 2 3_Exist Trunk Assets - Ferry" xfId="9596" xr:uid="{286222B4-41C8-4008-BC5F-7D473486560D}"/>
    <cellStyle name="Note 29 2 4" xfId="6563" xr:uid="{F04A74AD-2233-425F-8B86-6F89816F3778}"/>
    <cellStyle name="Note 29 2 5" xfId="6564" xr:uid="{E07643F0-D24E-4DC1-97FD-973B2EBD93DF}"/>
    <cellStyle name="Note 29 2 6" xfId="6565" xr:uid="{550095B8-A130-45B4-A7D1-82A8F9FC8691}"/>
    <cellStyle name="Note 29 2_Exist Trunk Assets - Ferry" xfId="9594" xr:uid="{14BDE1A7-11CD-4004-9C4D-2F38F8E509FF}"/>
    <cellStyle name="Note 29 3" xfId="6566" xr:uid="{5EB5A6B5-82E1-48FE-AD5C-CF179A22AA05}"/>
    <cellStyle name="Note 29 3 2" xfId="6567" xr:uid="{67AAF85D-FC38-48F5-B755-105EA1406AF6}"/>
    <cellStyle name="Note 29 3_Exist Trunk Assets - Ferry" xfId="9597" xr:uid="{FF8C7553-F191-4768-9823-F065BE986D76}"/>
    <cellStyle name="Note 29 4" xfId="6568" xr:uid="{3C170E6E-E25F-4E1D-A86C-F56216A79BDB}"/>
    <cellStyle name="Note 29 4 2" xfId="6569" xr:uid="{C6E9A5BC-E6B0-447A-A243-CB3FE09E4407}"/>
    <cellStyle name="Note 29 4_Exist Trunk Assets - Ferry" xfId="9598" xr:uid="{AF651FD5-DE29-469F-907E-382413EF71F8}"/>
    <cellStyle name="Note 29 5" xfId="6570" xr:uid="{3CAF9A0B-1378-46F1-83F2-A503E2ECE32B}"/>
    <cellStyle name="Note 29 6" xfId="6571" xr:uid="{66957F86-8FF4-4DE9-BA88-895505EC7558}"/>
    <cellStyle name="Note 29 7" xfId="6572" xr:uid="{8F434303-399C-4452-BD14-9EA5E29DF890}"/>
    <cellStyle name="Note 29_Exist Trunk Assets - Ferry" xfId="9593" xr:uid="{F781C1CC-113E-44F8-961B-8F9411D1CBD4}"/>
    <cellStyle name="Note 3" xfId="1622" xr:uid="{66C9758D-36F5-4824-A24E-BCE02D49272F}"/>
    <cellStyle name="Note 3 2" xfId="1623" xr:uid="{823A619D-4860-4E66-BA65-997646691811}"/>
    <cellStyle name="Note 3 2 2" xfId="1624" xr:uid="{2627128C-D0F3-4F3F-84A8-F6448DEC2FA8}"/>
    <cellStyle name="Note 3 2 2 2" xfId="6573" xr:uid="{F4884224-4999-4A45-8417-0A42784C9DCA}"/>
    <cellStyle name="Note 3 2 2 2 2" xfId="6574" xr:uid="{9B7BBDFD-FCC2-4A6C-A1A9-343F878AD6E1}"/>
    <cellStyle name="Note 3 2 2 2_Exist Trunk Assets - Ferry" xfId="9602" xr:uid="{3497F35F-EF19-4747-8C18-A7BECB1ADEFE}"/>
    <cellStyle name="Note 3 2 2 3" xfId="6575" xr:uid="{BC41C8B1-ED59-4B77-902B-4406045D9CC1}"/>
    <cellStyle name="Note 3 2 2 3 2" xfId="6576" xr:uid="{5A66B56C-6614-4B80-9710-9533A8446A6E}"/>
    <cellStyle name="Note 3 2 2 3_Exist Trunk Assets - Ferry" xfId="9603" xr:uid="{1BF2BE6C-3F30-4AE4-ABE5-8D5D3E8002A5}"/>
    <cellStyle name="Note 3 2 2 4" xfId="6577" xr:uid="{BC55E384-55AB-46DB-822F-7BAAC0ED58A4}"/>
    <cellStyle name="Note 3 2 2 5" xfId="6578" xr:uid="{44634ED6-6CC9-49DC-B724-596EB921E0C7}"/>
    <cellStyle name="Note 3 2 2 6" xfId="6579" xr:uid="{2625D1A4-9B23-45D6-BE11-5F91D91DB105}"/>
    <cellStyle name="Note 3 2 2_Exist Trunk Assets - Ferry" xfId="9601" xr:uid="{22C1899C-A548-4DEC-B3D3-26B1F0E9B7AA}"/>
    <cellStyle name="Note 3 2 3" xfId="6580" xr:uid="{A06E2BAE-6C80-4E14-AD80-8C846684CFA2}"/>
    <cellStyle name="Note 3 2 3 2" xfId="6581" xr:uid="{D2D6FC50-83CE-47E9-A539-5E4F8A387B13}"/>
    <cellStyle name="Note 3 2 3_Exist Trunk Assets - Ferry" xfId="9604" xr:uid="{B603B296-69E5-4DBF-9C1D-DB4FCEAC12F1}"/>
    <cellStyle name="Note 3 2 4" xfId="6582" xr:uid="{9C0B9535-D2A1-482E-B380-9BC83FF92B0E}"/>
    <cellStyle name="Note 3 2 4 2" xfId="6583" xr:uid="{1B8083D6-6DDC-488F-8645-74606C7456BB}"/>
    <cellStyle name="Note 3 2 4_Exist Trunk Assets - Ferry" xfId="9605" xr:uid="{18E31653-26F9-4513-B46E-B88B9E14B003}"/>
    <cellStyle name="Note 3 2 5" xfId="6584" xr:uid="{246DF60C-30A0-4ABA-9324-5CFB43808612}"/>
    <cellStyle name="Note 3 2 6" xfId="6585" xr:uid="{0F6FFD4B-C447-47FC-BBD1-B1BE20B6D360}"/>
    <cellStyle name="Note 3 2 7" xfId="6586" xr:uid="{F266E857-1B21-4B61-B455-8BDA8775AC73}"/>
    <cellStyle name="Note 3 2_Exist Trunk Assets - Ferry" xfId="9600" xr:uid="{08AE8BE4-82EE-47C8-9A2B-261C4B5FE0F3}"/>
    <cellStyle name="Note 3 3" xfId="2425" xr:uid="{5A132EEB-0B4A-450B-A015-05227F9D7753}"/>
    <cellStyle name="Note 3 3 2" xfId="6587" xr:uid="{2130BE6E-FBBD-4D20-9409-6C486F268EE0}"/>
    <cellStyle name="Note 3 3 3" xfId="6588" xr:uid="{64BCBA90-23FD-42F0-87BB-57165FDFD054}"/>
    <cellStyle name="Note 3 3 4" xfId="6589" xr:uid="{E3743A24-9CA9-4B10-B94E-D4BDA30F0D18}"/>
    <cellStyle name="Note 3 3_Exist Trunk Assets - Ferry" xfId="9606" xr:uid="{05BC21F6-C137-41E5-BB5E-21CBE4CAE365}"/>
    <cellStyle name="Note 3 4" xfId="2424" xr:uid="{82AC3947-4BD8-48CE-A035-EA1894BF2293}"/>
    <cellStyle name="Note 3 4 2" xfId="6590" xr:uid="{C5D09383-5256-43BC-9C91-B2AC70149BAE}"/>
    <cellStyle name="Note 3 4 3" xfId="6591" xr:uid="{06144296-6CA9-4588-A907-03D528A55BA1}"/>
    <cellStyle name="Note 3 4 4" xfId="6592" xr:uid="{E1088122-8E02-4EBE-8A50-41518DA29F0B}"/>
    <cellStyle name="Note 3 4 5" xfId="6593" xr:uid="{83A93E91-112C-49E6-96AD-87CB6A48BCEE}"/>
    <cellStyle name="Note 3 4 6" xfId="6594" xr:uid="{05108266-25DE-4711-B9B3-7E782DA4DCCA}"/>
    <cellStyle name="Note 3 4_Exist Trunk Assets - Ferry" xfId="9607" xr:uid="{F93E6248-9673-46DD-99C4-79FAEF85EEAA}"/>
    <cellStyle name="Note 3 5" xfId="6595" xr:uid="{3908035A-0214-4AFD-BABA-C46E1A00C7A8}"/>
    <cellStyle name="Note 3 6" xfId="6596" xr:uid="{AFF0517B-5E16-49DA-B152-DAB8C68C0CCC}"/>
    <cellStyle name="Note 3 7" xfId="6597" xr:uid="{AD9AD68A-140C-43BB-80D1-3D9227B71FAF}"/>
    <cellStyle name="Note 3_Exist Trunk Assets - Ferry" xfId="9599" xr:uid="{4EA7CA79-EB14-45E5-A7D2-123B91A6D4FC}"/>
    <cellStyle name="Note 30" xfId="1625" xr:uid="{15D6EE58-1E26-4F6C-90F9-0B05671F08AA}"/>
    <cellStyle name="Note 30 2" xfId="1626" xr:uid="{D6CBB36E-9A09-4E31-A01E-3A6BE6E5AE6E}"/>
    <cellStyle name="Note 30 2 2" xfId="6598" xr:uid="{0BF796E8-94A2-4D56-9374-34394540B3B7}"/>
    <cellStyle name="Note 30 2 2 2" xfId="6599" xr:uid="{7220D06E-75E3-4853-A9B1-B92C6F5938C1}"/>
    <cellStyle name="Note 30 2 2_Exist Trunk Assets - Ferry" xfId="9610" xr:uid="{6F0E22CC-5364-408A-9D06-C586C0213C72}"/>
    <cellStyle name="Note 30 2 3" xfId="6600" xr:uid="{8E7B2BA3-287B-47F6-B645-62DC1148CC2D}"/>
    <cellStyle name="Note 30 2 3 2" xfId="6601" xr:uid="{EEAE59E5-FA7E-49AC-AC10-8EB71D09FB82}"/>
    <cellStyle name="Note 30 2 3_Exist Trunk Assets - Ferry" xfId="9611" xr:uid="{27E63E5B-5DB5-479F-897C-A3F00BEBA56C}"/>
    <cellStyle name="Note 30 2 4" xfId="6602" xr:uid="{9854D2CF-E66B-436E-B323-852E98474608}"/>
    <cellStyle name="Note 30 2 5" xfId="6603" xr:uid="{0AA57310-6CE3-4079-B47F-6869A8CB6609}"/>
    <cellStyle name="Note 30 2 6" xfId="6604" xr:uid="{DC869168-11D5-48BD-A565-770175B1CF99}"/>
    <cellStyle name="Note 30 2_Exist Trunk Assets - Ferry" xfId="9609" xr:uid="{065F5BFE-5D7D-4613-80DE-69880EC01EBE}"/>
    <cellStyle name="Note 30 3" xfId="6605" xr:uid="{50C8AE9E-3C61-4F6D-959B-8196AF63EE59}"/>
    <cellStyle name="Note 30 3 2" xfId="6606" xr:uid="{651D7AD8-9880-4E72-9276-68B89FD87EA0}"/>
    <cellStyle name="Note 30 3_Exist Trunk Assets - Ferry" xfId="9612" xr:uid="{549EEF6F-D408-4C19-8DCC-0BC59904BE70}"/>
    <cellStyle name="Note 30 4" xfId="6607" xr:uid="{D4090AEB-3E55-4437-A843-CC819B587781}"/>
    <cellStyle name="Note 30 4 2" xfId="6608" xr:uid="{8B867509-8785-4C78-96FF-000583B073BC}"/>
    <cellStyle name="Note 30 4_Exist Trunk Assets - Ferry" xfId="9613" xr:uid="{B777FC20-D1AB-4EB8-92EC-8FB4CFF713FE}"/>
    <cellStyle name="Note 30 5" xfId="6609" xr:uid="{5B9C1D56-E03D-48CC-B6B5-2453657C502F}"/>
    <cellStyle name="Note 30 6" xfId="6610" xr:uid="{A105C43C-B36C-451C-9395-C41953780EB1}"/>
    <cellStyle name="Note 30 7" xfId="6611" xr:uid="{4EB9DF6B-8F7F-411B-B4FF-E69479A382C1}"/>
    <cellStyle name="Note 30_Exist Trunk Assets - Ferry" xfId="9608" xr:uid="{9ABF2134-B9DE-40AF-B845-D0655DCBCBD0}"/>
    <cellStyle name="Note 31" xfId="1627" xr:uid="{EFA9C0B4-5910-4D85-9A4E-9CF3D62CA3FB}"/>
    <cellStyle name="Note 31 2" xfId="1628" xr:uid="{05B82246-9C62-4398-8E47-81298BC7A3CD}"/>
    <cellStyle name="Note 31 2 2" xfId="6612" xr:uid="{86E67A18-20C2-4CA6-A0AC-9E1CB10704A4}"/>
    <cellStyle name="Note 31 2 2 2" xfId="6613" xr:uid="{36D2E6DD-549F-48D1-92C5-9C54F9494C60}"/>
    <cellStyle name="Note 31 2 2_Exist Trunk Assets - Ferry" xfId="9616" xr:uid="{6CC704C4-FEC4-4680-90A7-205586851AA2}"/>
    <cellStyle name="Note 31 2 3" xfId="6614" xr:uid="{8BF09297-3B6B-47CB-B68D-490FB032CB01}"/>
    <cellStyle name="Note 31 2 3 2" xfId="6615" xr:uid="{ABBC62A7-176F-4730-B02D-B05EC5C44DAE}"/>
    <cellStyle name="Note 31 2 3_Exist Trunk Assets - Ferry" xfId="9617" xr:uid="{3F33CBC8-415A-4075-AC73-9012F0145D84}"/>
    <cellStyle name="Note 31 2 4" xfId="6616" xr:uid="{5C613361-579A-4E00-AD5D-CA71E055C8F2}"/>
    <cellStyle name="Note 31 2 5" xfId="6617" xr:uid="{322B1C71-993E-49B0-9A83-E9E602DB8AAC}"/>
    <cellStyle name="Note 31 2 6" xfId="6618" xr:uid="{9DCE11BD-0888-4224-AA92-A5F2CF1BDB2F}"/>
    <cellStyle name="Note 31 2_Exist Trunk Assets - Ferry" xfId="9615" xr:uid="{5FDDC0AD-FE22-40EE-B216-E59B4CC8BEEC}"/>
    <cellStyle name="Note 31 3" xfId="6619" xr:uid="{E662A5C3-CD9B-45C9-911D-67FDAC4001CC}"/>
    <cellStyle name="Note 31 3 2" xfId="6620" xr:uid="{C708A26A-6E88-48A5-ABAE-0BA17F630B18}"/>
    <cellStyle name="Note 31 3_Exist Trunk Assets - Ferry" xfId="9618" xr:uid="{2EAA7B83-0021-4688-9C9C-9C3F7C39A0F2}"/>
    <cellStyle name="Note 31 4" xfId="6621" xr:uid="{CD988A7D-1C80-40CD-A3A2-D00D9D092599}"/>
    <cellStyle name="Note 31 4 2" xfId="6622" xr:uid="{C3749B4A-81B5-4E1D-83DE-886A1E0DDA63}"/>
    <cellStyle name="Note 31 4_Exist Trunk Assets - Ferry" xfId="9619" xr:uid="{0EDD3C39-E5E0-46FE-B70D-A89FC14CDB5A}"/>
    <cellStyle name="Note 31 5" xfId="6623" xr:uid="{372FAE48-DE95-4322-A9A1-C0849AFAFE6B}"/>
    <cellStyle name="Note 31 6" xfId="6624" xr:uid="{2C3002FA-844E-432C-8A52-77BB388BC4B5}"/>
    <cellStyle name="Note 31 7" xfId="6625" xr:uid="{89C62B5F-A386-4682-B0F7-2861E4D7A5AE}"/>
    <cellStyle name="Note 31_Exist Trunk Assets - Ferry" xfId="9614" xr:uid="{E4CE1EC8-05D7-415D-BFB4-810F6F09352E}"/>
    <cellStyle name="Note 32" xfId="1629" xr:uid="{8CF464C4-0863-482C-8BA0-9BD8DBD48605}"/>
    <cellStyle name="Note 32 2" xfId="1630" xr:uid="{8F68BD44-0C94-4F28-92BD-F22FA3A11075}"/>
    <cellStyle name="Note 32 2 2" xfId="6626" xr:uid="{2A9964BC-DBC6-421E-A823-2DEE19A04C67}"/>
    <cellStyle name="Note 32 2 2 2" xfId="6627" xr:uid="{15BA44D3-4EAE-44FF-A71E-CAFA95B1B555}"/>
    <cellStyle name="Note 32 2 2_Exist Trunk Assets - Ferry" xfId="9622" xr:uid="{3C123BC3-29FC-4D83-A9A0-92E9BF116664}"/>
    <cellStyle name="Note 32 2 3" xfId="6628" xr:uid="{A16AA87D-EEBF-40A5-9CD1-BE35AD257D81}"/>
    <cellStyle name="Note 32 2 3 2" xfId="6629" xr:uid="{5F44BE77-72FA-436E-8FBE-0E963E0566E4}"/>
    <cellStyle name="Note 32 2 3_Exist Trunk Assets - Ferry" xfId="9623" xr:uid="{A0865806-E35D-4A63-B379-159A1BD6BC5C}"/>
    <cellStyle name="Note 32 2 4" xfId="6630" xr:uid="{C83ABF1E-E62E-4EF7-96C0-EFA8EAD9D6C3}"/>
    <cellStyle name="Note 32 2 5" xfId="6631" xr:uid="{65E4C51F-87BC-47A0-9C74-9E1F708F6983}"/>
    <cellStyle name="Note 32 2 6" xfId="6632" xr:uid="{BE25ECB4-83B1-4D17-8E3F-EE749F01F682}"/>
    <cellStyle name="Note 32 2_Exist Trunk Assets - Ferry" xfId="9621" xr:uid="{4DB1AA0B-1CD3-442E-84EA-B41321B72B25}"/>
    <cellStyle name="Note 32 3" xfId="6633" xr:uid="{D60C3CF3-2A06-4A14-9D70-A2B0C614BAA5}"/>
    <cellStyle name="Note 32 3 2" xfId="6634" xr:uid="{079D54B9-D9BF-4F5C-AC6E-743EC805774E}"/>
    <cellStyle name="Note 32 3_Exist Trunk Assets - Ferry" xfId="9624" xr:uid="{F9241CF5-174C-4EB1-9BF6-12FA6C64CC7B}"/>
    <cellStyle name="Note 32 4" xfId="6635" xr:uid="{F7F2B39E-1BC4-4A2A-8AF1-9ECDBC5948EF}"/>
    <cellStyle name="Note 32 4 2" xfId="6636" xr:uid="{9D6A411C-3FB1-4A7A-8F75-F660479F9EDA}"/>
    <cellStyle name="Note 32 4_Exist Trunk Assets - Ferry" xfId="9625" xr:uid="{89E9242C-CF59-424D-81D5-3A25F6D1FE64}"/>
    <cellStyle name="Note 32 5" xfId="6637" xr:uid="{73FAE325-A7A3-47C8-8732-5AC4A8991C2E}"/>
    <cellStyle name="Note 32 6" xfId="6638" xr:uid="{5B1E2DFB-69EF-4C43-BD89-37DD80C7EDB3}"/>
    <cellStyle name="Note 32 7" xfId="6639" xr:uid="{91D1DF4B-F885-47D4-B6A7-21447E59FE78}"/>
    <cellStyle name="Note 32_Exist Trunk Assets - Ferry" xfId="9620" xr:uid="{BBF6E03F-30CA-4641-B395-820D8C2FFFB7}"/>
    <cellStyle name="Note 33" xfId="1631" xr:uid="{A067892F-7D8D-45EC-8AEA-E2E350FAC186}"/>
    <cellStyle name="Note 33 2" xfId="1632" xr:uid="{4863103E-B489-42D2-9518-F5F1743C4EDB}"/>
    <cellStyle name="Note 33 2 2" xfId="6640" xr:uid="{13655B15-8842-420F-B262-617A19A21E03}"/>
    <cellStyle name="Note 33 2 2 2" xfId="6641" xr:uid="{D1026283-8B54-4114-89EE-066199437E60}"/>
    <cellStyle name="Note 33 2 2_Exist Trunk Assets - Ferry" xfId="9628" xr:uid="{768B6511-AAA2-44F1-B2C1-FC10A9CC29F2}"/>
    <cellStyle name="Note 33 2 3" xfId="6642" xr:uid="{2D9BA06A-C30D-4A14-B022-D82380E080A3}"/>
    <cellStyle name="Note 33 2 3 2" xfId="6643" xr:uid="{9232EE3D-EF01-4253-85DF-43C230CBE88E}"/>
    <cellStyle name="Note 33 2 3_Exist Trunk Assets - Ferry" xfId="9629" xr:uid="{C960681E-78AF-4600-9DED-8898DF574D9D}"/>
    <cellStyle name="Note 33 2 4" xfId="6644" xr:uid="{CDD8A435-3B6D-4F8A-8395-5B25CD9DFEE5}"/>
    <cellStyle name="Note 33 2 5" xfId="6645" xr:uid="{FA78A65C-D006-4D53-B0CB-31713A9A5B7C}"/>
    <cellStyle name="Note 33 2 6" xfId="6646" xr:uid="{E717A677-3238-4544-95DA-A4B62FDA1B61}"/>
    <cellStyle name="Note 33 2_Exist Trunk Assets - Ferry" xfId="9627" xr:uid="{8D20869D-54DC-483A-8D6E-58B82E8CB3A2}"/>
    <cellStyle name="Note 33 3" xfId="6647" xr:uid="{48E5C9B9-69A6-4C29-A96B-43053CD7DC25}"/>
    <cellStyle name="Note 33 3 2" xfId="6648" xr:uid="{CD62CB90-24AC-456C-BB41-753771452A2F}"/>
    <cellStyle name="Note 33 3_Exist Trunk Assets - Ferry" xfId="9630" xr:uid="{98D2C91D-87C2-46A7-9E96-4AD451461E4D}"/>
    <cellStyle name="Note 33 4" xfId="6649" xr:uid="{E3C8B6FB-6233-4F9F-9C3B-95C1E6E234F8}"/>
    <cellStyle name="Note 33 4 2" xfId="6650" xr:uid="{385B15EA-5904-465B-9DB4-442CEA52663D}"/>
    <cellStyle name="Note 33 4_Exist Trunk Assets - Ferry" xfId="9631" xr:uid="{CDB0B3C3-51D5-422E-A0FE-FC6D751E52A7}"/>
    <cellStyle name="Note 33 5" xfId="6651" xr:uid="{8726E872-C3BD-4A8C-ACCA-31A785523A97}"/>
    <cellStyle name="Note 33 6" xfId="6652" xr:uid="{BF5F4A9B-4C71-4046-A2A0-25222A0B212D}"/>
    <cellStyle name="Note 33 7" xfId="6653" xr:uid="{B7F513D1-DA4C-4950-B16F-17C1DB9DA2F0}"/>
    <cellStyle name="Note 33_Exist Trunk Assets - Ferry" xfId="9626" xr:uid="{EB5D67AA-FD0A-4700-98EC-9860A2CD5558}"/>
    <cellStyle name="Note 34" xfId="1633" xr:uid="{B572B8EB-F362-45AB-A4D2-FDE3CE27F049}"/>
    <cellStyle name="Note 34 2" xfId="1634" xr:uid="{37CC333A-18F4-4BF1-9FB6-7A60782D6187}"/>
    <cellStyle name="Note 34 2 2" xfId="6654" xr:uid="{4F861694-D08E-412A-B148-60AD7BB307AD}"/>
    <cellStyle name="Note 34 2 2 2" xfId="6655" xr:uid="{F0C80BC0-CDE6-4260-BE0A-D0CF975EB8E1}"/>
    <cellStyle name="Note 34 2 2_Exist Trunk Assets - Ferry" xfId="9634" xr:uid="{5B6016BB-0FBF-4813-9DDF-C87A31F93AD3}"/>
    <cellStyle name="Note 34 2 3" xfId="6656" xr:uid="{E40122F5-DA6E-49B9-A4F3-FBEF921DA2EE}"/>
    <cellStyle name="Note 34 2 3 2" xfId="6657" xr:uid="{32215069-F4AF-45A7-A782-1009D41DCE88}"/>
    <cellStyle name="Note 34 2 3_Exist Trunk Assets - Ferry" xfId="9635" xr:uid="{61BD282F-4850-4199-AB9C-D4AB6BDA5D2E}"/>
    <cellStyle name="Note 34 2 4" xfId="6658" xr:uid="{ED86EC14-F0B3-42CE-853A-51961A190BD2}"/>
    <cellStyle name="Note 34 2 5" xfId="6659" xr:uid="{F96DB0C8-43B6-4C71-917B-4FF99010493E}"/>
    <cellStyle name="Note 34 2 6" xfId="6660" xr:uid="{A019C412-B56E-4F1E-BD7B-1FDA12B7FAEC}"/>
    <cellStyle name="Note 34 2_Exist Trunk Assets - Ferry" xfId="9633" xr:uid="{2E1B9265-DD90-4C35-A2C4-F0F93546F616}"/>
    <cellStyle name="Note 34 3" xfId="6661" xr:uid="{241ADC5E-9927-4583-8B18-5373A2FAD34A}"/>
    <cellStyle name="Note 34 3 2" xfId="6662" xr:uid="{B7530DAF-B60A-4092-8507-6473A0763B5F}"/>
    <cellStyle name="Note 34 3_Exist Trunk Assets - Ferry" xfId="9636" xr:uid="{D706E608-E8F0-4063-BBB9-EDA0E69A5128}"/>
    <cellStyle name="Note 34 4" xfId="6663" xr:uid="{13B83C56-3FDA-4835-AEC4-0B94DA9C8BAD}"/>
    <cellStyle name="Note 34 4 2" xfId="6664" xr:uid="{3ED6CAA9-D09B-48D5-BE6F-D096B4E93447}"/>
    <cellStyle name="Note 34 4_Exist Trunk Assets - Ferry" xfId="9637" xr:uid="{63C91ACE-CE97-4C0D-A91E-29245D6F26E9}"/>
    <cellStyle name="Note 34 5" xfId="6665" xr:uid="{2785DDA1-E357-4E1A-AF5B-C6046CBBA4BF}"/>
    <cellStyle name="Note 34 6" xfId="6666" xr:uid="{A82EC62A-168D-4BA3-A5B8-68C58DA6E93A}"/>
    <cellStyle name="Note 34 7" xfId="6667" xr:uid="{901FB9E3-F461-426D-BB77-8A24DEA57892}"/>
    <cellStyle name="Note 34_Exist Trunk Assets - Ferry" xfId="9632" xr:uid="{A19553AE-CE8D-41C8-A15A-CCD3B08079F4}"/>
    <cellStyle name="Note 35" xfId="1635" xr:uid="{6B901614-1CEB-4DA7-99AB-5F2986AFCC08}"/>
    <cellStyle name="Note 35 2" xfId="1636" xr:uid="{AFC2AE09-DE50-4C23-A425-62095056913C}"/>
    <cellStyle name="Note 35 2 2" xfId="6668" xr:uid="{031EF9D7-A0D5-462B-941D-99FF6B563BA5}"/>
    <cellStyle name="Note 35 2 2 2" xfId="6669" xr:uid="{2B12DD0A-2187-4BEA-BEC6-F28100EF2537}"/>
    <cellStyle name="Note 35 2 2_Exist Trunk Assets - Ferry" xfId="9640" xr:uid="{28C588B0-457C-4D76-8690-B1A5288283CD}"/>
    <cellStyle name="Note 35 2 3" xfId="6670" xr:uid="{3F755F7B-BC7B-4973-9DF9-63774A5C47D3}"/>
    <cellStyle name="Note 35 2 3 2" xfId="6671" xr:uid="{D390C7AF-CE02-46F6-A235-F48DA8EA641A}"/>
    <cellStyle name="Note 35 2 3_Exist Trunk Assets - Ferry" xfId="9641" xr:uid="{3042C5C2-517C-440A-9B3D-4A3E200862AC}"/>
    <cellStyle name="Note 35 2 4" xfId="6672" xr:uid="{D0C5F074-E41B-4E0B-9B3A-5CFDCC5E6A21}"/>
    <cellStyle name="Note 35 2 5" xfId="6673" xr:uid="{082A339F-2777-4492-8311-8FD7B9AB7418}"/>
    <cellStyle name="Note 35 2 6" xfId="6674" xr:uid="{9B5280F0-B931-4D5F-BC87-2177C78471C2}"/>
    <cellStyle name="Note 35 2_Exist Trunk Assets - Ferry" xfId="9639" xr:uid="{6E5957FF-276B-46A7-B449-55DBFEA498E7}"/>
    <cellStyle name="Note 35 3" xfId="6675" xr:uid="{54D2292A-549B-4D0C-BD79-CA2D0EF45392}"/>
    <cellStyle name="Note 35 3 2" xfId="6676" xr:uid="{3895507E-8C5A-49B6-B9BE-9543D242844C}"/>
    <cellStyle name="Note 35 3_Exist Trunk Assets - Ferry" xfId="9642" xr:uid="{76C149F0-3EB3-4EFA-8FFA-CFC1C63E3CF9}"/>
    <cellStyle name="Note 35 4" xfId="6677" xr:uid="{0322CD85-DD05-4DAE-8B28-7B85B94AA7B5}"/>
    <cellStyle name="Note 35 4 2" xfId="6678" xr:uid="{A36B1F3A-8B9F-4070-876A-8F5DC8B3BF09}"/>
    <cellStyle name="Note 35 4_Exist Trunk Assets - Ferry" xfId="9643" xr:uid="{8958B481-C8FE-4275-A49D-5369331D0588}"/>
    <cellStyle name="Note 35 5" xfId="6679" xr:uid="{350548D3-5164-4D58-81D9-9AA1D34F5098}"/>
    <cellStyle name="Note 35 6" xfId="6680" xr:uid="{1D5A2A80-0E30-440F-993E-B1D4C27EE6F0}"/>
    <cellStyle name="Note 35 7" xfId="6681" xr:uid="{C5844D8D-134C-4D5C-B93C-1DA1DAE7932B}"/>
    <cellStyle name="Note 35_Exist Trunk Assets - Ferry" xfId="9638" xr:uid="{EAF8D358-DF9B-414E-9215-C5DDAA1F61AE}"/>
    <cellStyle name="Note 36" xfId="1637" xr:uid="{A6E74728-4097-4CC3-A7D3-77B3E598B3CB}"/>
    <cellStyle name="Note 36 2" xfId="1638" xr:uid="{E7720ABB-9C83-4116-86E0-B4AB123CC262}"/>
    <cellStyle name="Note 36 2 2" xfId="6682" xr:uid="{C43AA347-4E07-4D95-9162-620A14C5E7A7}"/>
    <cellStyle name="Note 36 2 2 2" xfId="6683" xr:uid="{968157C9-6AD9-4DFE-BD53-853FED79EE1E}"/>
    <cellStyle name="Note 36 2 2_Exist Trunk Assets - Ferry" xfId="9646" xr:uid="{06D43289-C119-431B-A123-1307676FC873}"/>
    <cellStyle name="Note 36 2 3" xfId="6684" xr:uid="{25A1F333-4D0B-440A-B252-71287B4DB0E1}"/>
    <cellStyle name="Note 36 2 3 2" xfId="6685" xr:uid="{7FE39DA8-5F72-4854-8E4A-6BCCEACF7ADF}"/>
    <cellStyle name="Note 36 2 3_Exist Trunk Assets - Ferry" xfId="9647" xr:uid="{0AE27E3A-D5B7-4254-BF85-F5C5F79BB3EB}"/>
    <cellStyle name="Note 36 2 4" xfId="6686" xr:uid="{4DDC2B9E-132A-4067-93DB-70D0BE54CD52}"/>
    <cellStyle name="Note 36 2 5" xfId="6687" xr:uid="{353AB148-4936-46FC-AE21-EC6E6539CC4A}"/>
    <cellStyle name="Note 36 2 6" xfId="6688" xr:uid="{501E2E5E-8846-48EC-BB44-C6AD53FBEEB4}"/>
    <cellStyle name="Note 36 2_Exist Trunk Assets - Ferry" xfId="9645" xr:uid="{676D784E-AD52-4C88-ABDB-81919B57CA52}"/>
    <cellStyle name="Note 36 3" xfId="6689" xr:uid="{C2651A8C-4F80-4CC9-825D-20F6E03F33E3}"/>
    <cellStyle name="Note 36 3 2" xfId="6690" xr:uid="{78F577CD-2F5B-4DE8-9499-0EE2C5937407}"/>
    <cellStyle name="Note 36 3_Exist Trunk Assets - Ferry" xfId="9648" xr:uid="{64AEC8EF-E723-4B10-9872-8471FDC9A617}"/>
    <cellStyle name="Note 36 4" xfId="6691" xr:uid="{0609B6F4-B600-4C40-B18C-AC0F231A76B3}"/>
    <cellStyle name="Note 36 4 2" xfId="6692" xr:uid="{A6094E34-3F83-44BD-9D07-D88E6EFCBF54}"/>
    <cellStyle name="Note 36 4_Exist Trunk Assets - Ferry" xfId="9649" xr:uid="{590BD542-C48A-4C0D-9DEC-98921F05F389}"/>
    <cellStyle name="Note 36 5" xfId="6693" xr:uid="{824040EC-1536-4B3B-ADC2-A7E95AC90F9F}"/>
    <cellStyle name="Note 36 6" xfId="6694" xr:uid="{09758F9F-9F88-4D78-BEF4-3AE448507E4F}"/>
    <cellStyle name="Note 36 7" xfId="6695" xr:uid="{ED84C0A2-3095-488B-9888-B3434F23C918}"/>
    <cellStyle name="Note 36_Exist Trunk Assets - Ferry" xfId="9644" xr:uid="{B7089D6A-C8B5-4577-9BBC-92956093D94A}"/>
    <cellStyle name="Note 37" xfId="1639" xr:uid="{99CF1977-366C-4A90-B7DC-9AE2119280C7}"/>
    <cellStyle name="Note 37 2" xfId="6696" xr:uid="{FEDA5400-BBB3-4E83-AB0D-1D331203047A}"/>
    <cellStyle name="Note 37 3" xfId="6697" xr:uid="{4748B76F-A901-4FCF-B7F1-EB74005D2F1A}"/>
    <cellStyle name="Note 37_Exist Trunk Assets - Ferry" xfId="9650" xr:uid="{2DA93E74-5369-4DE5-B126-2D7A6BACA356}"/>
    <cellStyle name="Note 38" xfId="1640" xr:uid="{E5F9A7D0-373A-4AE1-96F7-226DB3E3FB67}"/>
    <cellStyle name="Note 38 2" xfId="6698" xr:uid="{BC6908EC-22F0-42B0-A47C-329FDEFF28CB}"/>
    <cellStyle name="Note 38 3" xfId="6699" xr:uid="{6A5CE503-3257-46F2-9109-5EDE063AD8C2}"/>
    <cellStyle name="Note 38_Exist Trunk Assets - Ferry" xfId="9651" xr:uid="{407232E8-7875-43E4-AB7F-2B006362E50B}"/>
    <cellStyle name="Note 39" xfId="1641" xr:uid="{27576D1E-6E45-4633-9940-A3264A8A4023}"/>
    <cellStyle name="Note 39 2" xfId="6700" xr:uid="{E38DC558-19DD-47BD-9358-96E6BB5AC115}"/>
    <cellStyle name="Note 39 3" xfId="6701" xr:uid="{C3D3A56E-C0BD-433B-A571-3FF6FFD5C8DB}"/>
    <cellStyle name="Note 39_Exist Trunk Assets - Ferry" xfId="9652" xr:uid="{3A821210-3D03-48A6-B9B5-09E88CD84DE8}"/>
    <cellStyle name="Note 4" xfId="1642" xr:uid="{1C36A3AA-AC39-48DF-84DD-81A3609348CA}"/>
    <cellStyle name="Note 4 10" xfId="8166" xr:uid="{4647C6E8-DFDE-447A-A537-76A055CCA23D}"/>
    <cellStyle name="Note 4 2" xfId="1643" xr:uid="{77792065-6974-4459-BFCF-332900F20AD5}"/>
    <cellStyle name="Note 4 2 2" xfId="2427" xr:uid="{36881328-7E5B-43A9-B26B-72F0A5DEB18B}"/>
    <cellStyle name="Note 4 2 2 2" xfId="6702" xr:uid="{62870405-13D1-402F-B1CB-30793E88415B}"/>
    <cellStyle name="Note 4 2 2 2 2" xfId="6703" xr:uid="{367BD922-1707-4258-87A5-B16D0B1C8E1D}"/>
    <cellStyle name="Note 4 2 2 2_Exist Trunk Assets - Ferry" xfId="9656" xr:uid="{2D8E91D6-7969-4276-9EE5-2BA18DEDD051}"/>
    <cellStyle name="Note 4 2 2 3" xfId="6704" xr:uid="{9D3A6B94-6FD3-4A96-929C-57DEEC8EC027}"/>
    <cellStyle name="Note 4 2 2 3 2" xfId="6705" xr:uid="{5A29C729-86E9-418A-8CB2-990C758726F1}"/>
    <cellStyle name="Note 4 2 2 3_Exist Trunk Assets - Ferry" xfId="9657" xr:uid="{B2CD5A36-83B1-4119-B717-C528DEB759EB}"/>
    <cellStyle name="Note 4 2 2 4" xfId="6706" xr:uid="{15264C55-1887-49F4-998B-C4D15AD8E126}"/>
    <cellStyle name="Note 4 2 2 5" xfId="6707" xr:uid="{C2C185C7-EFC3-471D-8A4C-84636435F053}"/>
    <cellStyle name="Note 4 2 2 6" xfId="6708" xr:uid="{1D27E482-0295-4123-92A8-18131AD052CE}"/>
    <cellStyle name="Note 4 2 2_Exist Trunk Assets - Ferry" xfId="9655" xr:uid="{EA4CC474-BF61-41E0-8318-DCFC2DF1E46D}"/>
    <cellStyle name="Note 4 2 3" xfId="2426" xr:uid="{B59AC32D-D17A-45D6-BFBD-04D8D8AD30E6}"/>
    <cellStyle name="Note 4 2 3 2" xfId="6709" xr:uid="{B73834DB-4CAE-4159-A72A-9CA8553E8114}"/>
    <cellStyle name="Note 4 2 3 3" xfId="6710" xr:uid="{CFCA4EB6-63F8-43A8-8DD5-4358BA5EBA6E}"/>
    <cellStyle name="Note 4 2 3 4" xfId="6711" xr:uid="{2AA0BF87-5E9B-4CBD-A4D9-8F81926B6350}"/>
    <cellStyle name="Note 4 2 3 5" xfId="6712" xr:uid="{A3BF61AB-CDBA-4F75-B998-9359F5EF5A86}"/>
    <cellStyle name="Note 4 2 3 6" xfId="6713" xr:uid="{A300FE8F-12C1-4679-83C3-C02279D7B896}"/>
    <cellStyle name="Note 4 2 3_Exist Trunk Assets - Ferry" xfId="9658" xr:uid="{7EB6DE19-A9B5-434A-905E-6403CD6DE262}"/>
    <cellStyle name="Note 4 2 4" xfId="6714" xr:uid="{BABB0552-740F-4117-B514-7C9D0A7AC194}"/>
    <cellStyle name="Note 4 2 4 2" xfId="6715" xr:uid="{BB1AD798-0828-4374-A19B-EAF0EB2287D3}"/>
    <cellStyle name="Note 4 2 4_Exist Trunk Assets - Ferry" xfId="9659" xr:uid="{22A943BA-9355-4A73-AF08-303BCA8A9400}"/>
    <cellStyle name="Note 4 2 5" xfId="6716" xr:uid="{A41806DE-5233-45B6-9E41-70C54DABC15C}"/>
    <cellStyle name="Note 4 2 5 2" xfId="6717" xr:uid="{FF1E4F84-1D8D-43DB-B2F3-CDDB29C063F1}"/>
    <cellStyle name="Note 4 2 5_Exist Trunk Assets - Ferry" xfId="9660" xr:uid="{A513FF14-791C-4DB9-95EC-2915468EB8ED}"/>
    <cellStyle name="Note 4 2 6" xfId="6718" xr:uid="{6129C113-7204-4650-A744-EA83AA24BC39}"/>
    <cellStyle name="Note 4 2 7" xfId="6719" xr:uid="{5470ED98-FFDE-4158-A7D9-BD1348C887E8}"/>
    <cellStyle name="Note 4 2 8" xfId="6720" xr:uid="{14ED0DEC-2CE6-460B-A5D6-68EA6D940E94}"/>
    <cellStyle name="Note 4 2_Exist Trunk Assets - Ferry" xfId="9654" xr:uid="{38A4234F-7029-414E-9146-D3F935B33CFA}"/>
    <cellStyle name="Note 4 3" xfId="2179" xr:uid="{F00EF83E-5E16-4108-A7DC-4431B253BE9B}"/>
    <cellStyle name="Note 4 3 2" xfId="2428" xr:uid="{8D4A0741-B263-4E43-A46A-6B5E9B0A131C}"/>
    <cellStyle name="Note 4 3 2 2" xfId="6721" xr:uid="{4EC694BC-00E3-46F2-B2CC-ADCC78483EB4}"/>
    <cellStyle name="Note 4 3 2 3" xfId="6722" xr:uid="{52C7522F-F066-4846-9668-E703AC061A8B}"/>
    <cellStyle name="Note 4 3 2 4" xfId="6723" xr:uid="{9761D321-2592-4D5F-900E-41532DD379A4}"/>
    <cellStyle name="Note 4 3 2 5" xfId="6724" xr:uid="{46974D9E-8A5B-41AE-B382-B121357D5BC5}"/>
    <cellStyle name="Note 4 3 2 6" xfId="6725" xr:uid="{E4483FD3-EA94-4880-96B3-035EBA25E3A4}"/>
    <cellStyle name="Note 4 3 2_Exist Trunk Assets - Ferry" xfId="9662" xr:uid="{A9869103-7D2C-4778-BDC4-C8F999D59C60}"/>
    <cellStyle name="Note 4 3 3" xfId="6726" xr:uid="{CD8035AC-52BB-4981-91BB-D68D4FA4E11A}"/>
    <cellStyle name="Note 4 3 4" xfId="6727" xr:uid="{832CDB84-BF2E-4BAD-8447-A62BE634BDEF}"/>
    <cellStyle name="Note 4 3 5" xfId="6728" xr:uid="{586E4E11-76F5-46C8-9ACE-200E6A93DC86}"/>
    <cellStyle name="Note 4 3_Exist Trunk Assets - Ferry" xfId="9661" xr:uid="{731EC645-84A9-4933-85B8-FCCCF054A948}"/>
    <cellStyle name="Note 4 4" xfId="2433" xr:uid="{5AB18A8E-FA22-456D-A168-413FC8C84CC5}"/>
    <cellStyle name="Note 4 4 2" xfId="6729" xr:uid="{F5E5F7BA-7566-4C9E-A926-8C884A967D73}"/>
    <cellStyle name="Note 4 4 3" xfId="6730" xr:uid="{12E3C945-F8EB-4548-B5F3-699F2FB58E84}"/>
    <cellStyle name="Note 4 4 4" xfId="6731" xr:uid="{0CA4221E-54D0-4078-9285-CF6E71944CD1}"/>
    <cellStyle name="Note 4 4_Exist Trunk Assets - Ferry" xfId="9663" xr:uid="{6C33A75C-F4B8-497E-8B7B-EFA1DB9925F1}"/>
    <cellStyle name="Note 4 5" xfId="2562" xr:uid="{63ABED07-805D-4DB7-B7AE-84D76D73A1FE}"/>
    <cellStyle name="Note 4 5 2" xfId="6732" xr:uid="{B7688B25-EF90-4041-AA09-8DD5DE7ED79E}"/>
    <cellStyle name="Note 4 5 2 2" xfId="6733" xr:uid="{35CBC1BA-D53A-4A20-B6D0-6A028ED4AF0C}"/>
    <cellStyle name="Note 4 5 2_Exist Trunk Assets - Ferry" xfId="9665" xr:uid="{3D8F26E9-DBF3-4D16-9508-D37A1997070E}"/>
    <cellStyle name="Note 4 5 3" xfId="6734" xr:uid="{56E76576-D2F6-4D51-8A06-E2AABE31F0C7}"/>
    <cellStyle name="Note 4 5 4" xfId="6735" xr:uid="{7D181CB4-1AA0-4C51-9D27-C5405B9EBD4C}"/>
    <cellStyle name="Note 4 5 5" xfId="6736" xr:uid="{4A4DC652-ECC4-4657-871A-D8C5B901358B}"/>
    <cellStyle name="Note 4 5_Exist Trunk Assets - Ferry" xfId="9664" xr:uid="{C5A3CC00-111A-4F60-9429-11766E8EC18B}"/>
    <cellStyle name="Note 4 6" xfId="6737" xr:uid="{0080D5B7-ABBA-4B79-90E0-6EBCCD57F13C}"/>
    <cellStyle name="Note 4 6 2" xfId="6738" xr:uid="{E320CC3E-43A0-4C8F-B8DC-AD06BA4A9F8E}"/>
    <cellStyle name="Note 4 6_Exist Trunk Assets - Ferry" xfId="9666" xr:uid="{CA02B52E-847D-445B-BD49-7A437B725096}"/>
    <cellStyle name="Note 4 7" xfId="6739" xr:uid="{F55D32BE-5454-4A96-A442-0092D106B691}"/>
    <cellStyle name="Note 4 8" xfId="6740" xr:uid="{2F48EE5D-7E0E-4D0F-8F24-D08653ABC31E}"/>
    <cellStyle name="Note 4 9" xfId="6741" xr:uid="{6AFD17FA-5330-43FF-8380-AD7C3EC552C9}"/>
    <cellStyle name="Note 4_Exist Trunk Assets - Ferry" xfId="9653" xr:uid="{1D5C4E5D-324E-4FA6-B5DD-0E9D369255B0}"/>
    <cellStyle name="Note 40" xfId="1644" xr:uid="{F2DADFDF-41C0-46C6-BC4B-586C39259A8C}"/>
    <cellStyle name="Note 40 2" xfId="6742" xr:uid="{EA2DF6FA-964C-40E8-B754-9240984FCBA4}"/>
    <cellStyle name="Note 40 3" xfId="6743" xr:uid="{7950FAEA-2DAA-422B-9B4F-F12E2725D475}"/>
    <cellStyle name="Note 40_Exist Trunk Assets - Ferry" xfId="9667" xr:uid="{891C7181-5897-4F8C-B0F8-02763926DF5E}"/>
    <cellStyle name="Note 41" xfId="1645" xr:uid="{8549B125-C630-457F-B098-132C6838B38C}"/>
    <cellStyle name="Note 41 2" xfId="6744" xr:uid="{33F7DC66-EA23-4545-A3B0-948444D393AA}"/>
    <cellStyle name="Note 41 3" xfId="6745" xr:uid="{AC712DFA-B25C-438D-9BBB-2CB86D51A011}"/>
    <cellStyle name="Note 41_Exist Trunk Assets - Ferry" xfId="9668" xr:uid="{42E4A07D-E76A-4AE0-B63B-70A7E67E3302}"/>
    <cellStyle name="Note 42" xfId="1646" xr:uid="{66D6FD8B-B83D-4D1A-BE73-0A56D6FFFC87}"/>
    <cellStyle name="Note 42 2" xfId="6746" xr:uid="{3D99ADC7-6CF0-42ED-9422-85FF36094AB7}"/>
    <cellStyle name="Note 42 3" xfId="6747" xr:uid="{9ECD7B9F-F691-460F-B43A-AAA0A8B5F2B0}"/>
    <cellStyle name="Note 42_Exist Trunk Assets - Ferry" xfId="9669" xr:uid="{E1D94799-3E9F-40CA-B890-A967DB949C7D}"/>
    <cellStyle name="Note 43" xfId="1647" xr:uid="{C9F00500-4DA0-4C2A-8153-4CDDF9C96251}"/>
    <cellStyle name="Note 43 2" xfId="6748" xr:uid="{18E0BAF1-DCAA-472D-815F-26AC176B09C0}"/>
    <cellStyle name="Note 43 3" xfId="6749" xr:uid="{771314E4-A907-4F9A-8BCA-9D1B2700C836}"/>
    <cellStyle name="Note 43_Exist Trunk Assets - Ferry" xfId="9670" xr:uid="{96E4E93F-8623-4614-A463-5EDCC08CA86F}"/>
    <cellStyle name="Note 44" xfId="1648" xr:uid="{E4688D29-B92F-416E-BCC0-C351020776CC}"/>
    <cellStyle name="Note 44 2" xfId="6750" xr:uid="{F9959B80-640C-4DF5-99D1-955180DCA1B1}"/>
    <cellStyle name="Note 44 3" xfId="6751" xr:uid="{EBE2175C-B1CB-49C6-AEB7-77A5F73169B4}"/>
    <cellStyle name="Note 44_Exist Trunk Assets - Ferry" xfId="9671" xr:uid="{91182C5F-4987-4F40-ABF6-CB24DAFA2972}"/>
    <cellStyle name="Note 45" xfId="1649" xr:uid="{C96EEBB4-9FC1-4CA7-8B81-56B034C94B34}"/>
    <cellStyle name="Note 45 2" xfId="6752" xr:uid="{EC35274F-D414-452C-9146-4A918E41D56B}"/>
    <cellStyle name="Note 45 3" xfId="6753" xr:uid="{3076B83A-1F1D-46C6-B078-EC852F151EA5}"/>
    <cellStyle name="Note 45_Exist Trunk Assets - Ferry" xfId="9672" xr:uid="{8D2D435A-0864-4BF6-9E02-F439E7B1E7A4}"/>
    <cellStyle name="Note 46" xfId="1650" xr:uid="{53339038-414E-4D41-8A70-DEA75203278E}"/>
    <cellStyle name="Note 46 2" xfId="6754" xr:uid="{ECA10244-8828-4A43-A2DD-03B91599E270}"/>
    <cellStyle name="Note 46 3" xfId="6755" xr:uid="{9B239E5D-EBDA-41C8-9FEC-94B438F822C6}"/>
    <cellStyle name="Note 46_Exist Trunk Assets - Ferry" xfId="9673" xr:uid="{48DC3B7D-4492-4049-88B0-828B5DFF63DD}"/>
    <cellStyle name="Note 47" xfId="1651" xr:uid="{A48EA151-5B8C-406F-B5F8-0EC1CE0D8E4A}"/>
    <cellStyle name="Note 47 2" xfId="6756" xr:uid="{8A7A2668-0DE5-475E-B34F-A1B99B588719}"/>
    <cellStyle name="Note 47 3" xfId="6757" xr:uid="{D234934A-479A-4F12-A0CE-1A001A800247}"/>
    <cellStyle name="Note 47_Exist Trunk Assets - Ferry" xfId="9674" xr:uid="{C1DCB0A4-C566-4FC8-8DC7-DA01A01C0163}"/>
    <cellStyle name="Note 48" xfId="1652" xr:uid="{47E784BD-D99D-4E65-B847-D65066C12FBA}"/>
    <cellStyle name="Note 48 2" xfId="6758" xr:uid="{62619FD0-41AF-42D4-BC95-C3B06FE59EB2}"/>
    <cellStyle name="Note 48 3" xfId="6759" xr:uid="{B38109FD-3473-4367-A0D6-A33855D83E9E}"/>
    <cellStyle name="Note 48_Exist Trunk Assets - Ferry" xfId="9675" xr:uid="{BE796FAC-75F4-475B-8A2E-8BFE212A2619}"/>
    <cellStyle name="Note 49" xfId="1653" xr:uid="{39CD6E98-1740-470B-8D26-41747920A151}"/>
    <cellStyle name="Note 49 2" xfId="6760" xr:uid="{E32F7CFD-EB72-4E5D-9E86-018CF32404F4}"/>
    <cellStyle name="Note 49 3" xfId="6761" xr:uid="{A11677E3-50C1-4973-861D-D924C6FFACB4}"/>
    <cellStyle name="Note 49_Exist Trunk Assets - Ferry" xfId="9676" xr:uid="{1634AEA8-B0D9-4482-A384-0793EED135D3}"/>
    <cellStyle name="Note 5" xfId="1654" xr:uid="{D7ABE414-4F14-4838-B113-FA83C72E7814}"/>
    <cellStyle name="Note 5 2" xfId="1655" xr:uid="{16231E33-093F-44E5-A56E-BF7DFB8D327E}"/>
    <cellStyle name="Note 5 2 2" xfId="2430" xr:uid="{95A53726-7D1B-4C9B-AE9F-B83CB18B83EE}"/>
    <cellStyle name="Note 5 2 2 2" xfId="6762" xr:uid="{970878C9-9629-42D0-9B87-AD6E4395507D}"/>
    <cellStyle name="Note 5 2 2 2 2" xfId="6763" xr:uid="{0BB62C90-D9BC-4DFA-883E-211AA2833752}"/>
    <cellStyle name="Note 5 2 2 2_Exist Trunk Assets - Ferry" xfId="9680" xr:uid="{3B846EEA-AA21-43FD-94F0-AB22F849B3D1}"/>
    <cellStyle name="Note 5 2 2 3" xfId="6764" xr:uid="{1013B21E-4D11-495A-AE51-C850E32EAD90}"/>
    <cellStyle name="Note 5 2 2 3 2" xfId="6765" xr:uid="{491638AF-924F-4DB6-A761-1C310C832103}"/>
    <cellStyle name="Note 5 2 2 3_Exist Trunk Assets - Ferry" xfId="9681" xr:uid="{783CCB8B-128C-4591-8018-E73ABED34D10}"/>
    <cellStyle name="Note 5 2 2 4" xfId="6766" xr:uid="{FEC3A45C-1C70-4A94-A0FE-AFC4C2EC7C86}"/>
    <cellStyle name="Note 5 2 2 5" xfId="6767" xr:uid="{B288531B-BBBA-431B-8929-FEDBC9128E15}"/>
    <cellStyle name="Note 5 2 2 6" xfId="6768" xr:uid="{9062ECAE-CED7-4E97-AC78-96D543CCCF04}"/>
    <cellStyle name="Note 5 2 2_Exist Trunk Assets - Ferry" xfId="9679" xr:uid="{46BFD91D-75DA-4DF0-B867-7949D0EC2DA1}"/>
    <cellStyle name="Note 5 2 3" xfId="2429" xr:uid="{9462F4C9-2017-4178-B373-A2C91E560719}"/>
    <cellStyle name="Note 5 2 3 2" xfId="6769" xr:uid="{638E58B7-1273-4231-BD29-3FAC6621F990}"/>
    <cellStyle name="Note 5 2 3 3" xfId="6770" xr:uid="{8753FC8A-95FE-4237-8C3B-594511621E51}"/>
    <cellStyle name="Note 5 2 3 4" xfId="6771" xr:uid="{8C790538-696C-4352-AF25-2FC27193D117}"/>
    <cellStyle name="Note 5 2 3 5" xfId="6772" xr:uid="{2445BE7C-0DC6-4568-819E-022151A96EFB}"/>
    <cellStyle name="Note 5 2 3 6" xfId="6773" xr:uid="{91A3CD33-88C8-4930-B227-DD29C6ED4F13}"/>
    <cellStyle name="Note 5 2 3_Exist Trunk Assets - Ferry" xfId="9682" xr:uid="{603AC464-99A2-49AA-A28B-9BF24C21CAB5}"/>
    <cellStyle name="Note 5 2 4" xfId="6774" xr:uid="{8256BBED-2E05-4B3F-93CB-E13CA3861014}"/>
    <cellStyle name="Note 5 2 4 2" xfId="6775" xr:uid="{6E360BAE-44C0-4A6C-8CB8-21B791FB934B}"/>
    <cellStyle name="Note 5 2 4_Exist Trunk Assets - Ferry" xfId="9683" xr:uid="{F064E857-A757-4B9B-B212-DE393734B0CD}"/>
    <cellStyle name="Note 5 2 5" xfId="6776" xr:uid="{16D02CA6-34F5-4D48-B90E-C1D8D72C27BF}"/>
    <cellStyle name="Note 5 2 5 2" xfId="6777" xr:uid="{A9923F3A-A8E0-4F3C-B215-82C30835992D}"/>
    <cellStyle name="Note 5 2 5_Exist Trunk Assets - Ferry" xfId="9684" xr:uid="{A1159E44-2396-4A62-94FF-B0F1D301353A}"/>
    <cellStyle name="Note 5 2 6" xfId="6778" xr:uid="{DDF36865-2841-419E-8980-08935237B438}"/>
    <cellStyle name="Note 5 2 7" xfId="6779" xr:uid="{9E721643-78F4-406C-ACE3-BE00D0C2ED36}"/>
    <cellStyle name="Note 5 2 8" xfId="6780" xr:uid="{1669846B-3D10-49AD-AF47-E48C47229A9F}"/>
    <cellStyle name="Note 5 2_Exist Trunk Assets - Ferry" xfId="9678" xr:uid="{01DB72FE-5487-42B9-900F-E9E12C027131}"/>
    <cellStyle name="Note 5 3" xfId="2177" xr:uid="{3C53776A-56C7-4A3B-AE52-05928F10E36C}"/>
    <cellStyle name="Note 5 3 2" xfId="6781" xr:uid="{B099BAC6-0FF8-4DC6-A42D-C9DF296A8475}"/>
    <cellStyle name="Note 5 3 3" xfId="6782" xr:uid="{041B4FEA-CAA8-471D-9E1F-3677DF9234E8}"/>
    <cellStyle name="Note 5 3 4" xfId="6783" xr:uid="{7DDB7AE3-92B4-4256-ABDC-00247DB59956}"/>
    <cellStyle name="Note 5 3_Exist Trunk Assets - Ferry" xfId="9685" xr:uid="{DCB1B76A-7E5D-46C2-9D8B-DB5E430BD2AB}"/>
    <cellStyle name="Note 5 4" xfId="2563" xr:uid="{80E92662-E319-4164-8F90-243034BA262E}"/>
    <cellStyle name="Note 5 4 2" xfId="6784" xr:uid="{FF14692B-1A4A-4155-AD21-1985EAAA65C1}"/>
    <cellStyle name="Note 5 4 2 2" xfId="6785" xr:uid="{03251CB8-1E39-4B4D-9E6C-A065502827E5}"/>
    <cellStyle name="Note 5 4 2_Exist Trunk Assets - Ferry" xfId="9687" xr:uid="{9566F402-5B79-4364-9C38-C34038E27D68}"/>
    <cellStyle name="Note 5 4 3" xfId="6786" xr:uid="{6F9B335E-ADB6-4E8E-84D4-85AD9AAD77B9}"/>
    <cellStyle name="Note 5 4 4" xfId="6787" xr:uid="{EFBBBE03-98C9-41D7-A010-7E777035EEE9}"/>
    <cellStyle name="Note 5 4 5" xfId="6788" xr:uid="{F8FB84A8-2BC3-4549-B3DC-405C3F1B3BF4}"/>
    <cellStyle name="Note 5 4_Exist Trunk Assets - Ferry" xfId="9686" xr:uid="{02A1264C-DBD6-4591-A33A-B02B674B00A5}"/>
    <cellStyle name="Note 5 5" xfId="6789" xr:uid="{29A54302-F678-4E66-BB65-04FA92D5F2FC}"/>
    <cellStyle name="Note 5 5 2" xfId="6790" xr:uid="{D5CFF363-0C8F-4B5A-81A9-0325CAA7EE71}"/>
    <cellStyle name="Note 5 5_Exist Trunk Assets - Ferry" xfId="9688" xr:uid="{925D30D9-6955-4D5C-BD24-FBE010C527DE}"/>
    <cellStyle name="Note 5 6" xfId="6791" xr:uid="{E778523E-8251-46F7-BB29-5FF2D1D9AAA5}"/>
    <cellStyle name="Note 5 7" xfId="6792" xr:uid="{B3612094-D1D0-4E63-AE6D-0AAF8A47FE96}"/>
    <cellStyle name="Note 5 8" xfId="6793" xr:uid="{CC971F8B-7972-4A6D-AA6D-F1352779A132}"/>
    <cellStyle name="Note 5 9" xfId="8167" xr:uid="{D4E8A9F9-E4AB-4926-90DA-9BA5FAC5DB24}"/>
    <cellStyle name="Note 5_Exist Trunk Assets - Ferry" xfId="9677" xr:uid="{783F4FC1-2F40-4704-BD2B-26A4619B441F}"/>
    <cellStyle name="Note 50" xfId="1656" xr:uid="{B4AA7E39-D8E5-4D24-A459-17C638E19E47}"/>
    <cellStyle name="Note 50 2" xfId="6794" xr:uid="{A8C023FD-7534-4234-AE89-D87B7EA42616}"/>
    <cellStyle name="Note 50 3" xfId="6795" xr:uid="{AAEA1A80-2B7D-4843-95CA-DA95AF816ACD}"/>
    <cellStyle name="Note 50_Exist Trunk Assets - Ferry" xfId="9689" xr:uid="{15B1555E-92E6-451C-8B5E-6E50A8C505CC}"/>
    <cellStyle name="Note 51" xfId="1657" xr:uid="{2820A81E-4337-4683-9E24-DD73CCE831D8}"/>
    <cellStyle name="Note 51 2" xfId="6796" xr:uid="{B7611770-2E6C-46D5-81D5-8224ACD1CC5A}"/>
    <cellStyle name="Note 51 3" xfId="6797" xr:uid="{E7909C7B-259F-45EF-90BD-30F1DB7860C6}"/>
    <cellStyle name="Note 51_Exist Trunk Assets - Ferry" xfId="9690" xr:uid="{2A3DCAA1-F0D3-477D-91B1-20E62062B435}"/>
    <cellStyle name="Note 52" xfId="1658" xr:uid="{B1AA854D-50A5-4A11-BAE3-9058EFF47046}"/>
    <cellStyle name="Note 52 2" xfId="6798" xr:uid="{D2FA0A37-89EA-4C9F-8EE8-9F64BD7A448F}"/>
    <cellStyle name="Note 52 3" xfId="6799" xr:uid="{D2E5B65A-7109-4B66-9FEB-CD5A85425F8C}"/>
    <cellStyle name="Note 52_Exist Trunk Assets - Ferry" xfId="9691" xr:uid="{FDEFBCB0-4297-43E2-86A2-329AFD43C2A1}"/>
    <cellStyle name="Note 53" xfId="1659" xr:uid="{94282BCA-811D-400C-8A9D-B3DEBA7FFB92}"/>
    <cellStyle name="Note 53 2" xfId="6800" xr:uid="{C1DA7CAA-81F5-41E6-9896-5E71E5277FB4}"/>
    <cellStyle name="Note 53 3" xfId="6801" xr:uid="{9637947F-1BED-417B-8D2D-F80C9D4521BA}"/>
    <cellStyle name="Note 53_Exist Trunk Assets - Ferry" xfId="9692" xr:uid="{49563864-CB5E-41C2-BCCC-803EA750C329}"/>
    <cellStyle name="Note 54" xfId="1660" xr:uid="{F85728EB-531F-4930-A6B0-CABDD3593F9A}"/>
    <cellStyle name="Note 54 2" xfId="6802" xr:uid="{049626D3-174E-47DC-A4E2-45C02D9AE3B5}"/>
    <cellStyle name="Note 54 3" xfId="6803" xr:uid="{3D8BBC3E-BFAD-4D32-BE3E-F916480B161A}"/>
    <cellStyle name="Note 54_Exist Trunk Assets - Ferry" xfId="9693" xr:uid="{826E00D4-A0A6-4990-B7BD-7515EC2356CC}"/>
    <cellStyle name="Note 55" xfId="1661" xr:uid="{E89F4692-14D0-40F7-9706-DCCF9F1804CF}"/>
    <cellStyle name="Note 55 2" xfId="6804" xr:uid="{C2F315AA-CC03-4A6E-BCA3-FF5F70090748}"/>
    <cellStyle name="Note 55 3" xfId="6805" xr:uid="{0D9FDB62-E262-43B2-AD6B-5C86138A44AE}"/>
    <cellStyle name="Note 55_Exist Trunk Assets - Ferry" xfId="9694" xr:uid="{3F8D675B-BDB7-4ADE-893B-3D9FBB5474D5}"/>
    <cellStyle name="Note 56" xfId="1662" xr:uid="{26169682-3D9F-4269-BF40-BB688B29603D}"/>
    <cellStyle name="Note 56 2" xfId="6806" xr:uid="{232F2F5F-FFC8-4D7E-88CC-CD6A3BD19253}"/>
    <cellStyle name="Note 56 3" xfId="6807" xr:uid="{F4DA353A-E093-40C7-8412-D04C64D12C6B}"/>
    <cellStyle name="Note 56_Exist Trunk Assets - Ferry" xfId="9695" xr:uid="{710B7894-F883-4865-B573-F85B71E0850E}"/>
    <cellStyle name="Note 57" xfId="1663" xr:uid="{48B75442-90A3-41EA-8B53-C0BF674F98EB}"/>
    <cellStyle name="Note 57 2" xfId="6808" xr:uid="{A562537D-664F-4F5F-B0C4-2C8C52435245}"/>
    <cellStyle name="Note 57 3" xfId="6809" xr:uid="{AE475FC9-838B-4C0B-ABC5-6C9857AEEB6E}"/>
    <cellStyle name="Note 57_Exist Trunk Assets - Ferry" xfId="9696" xr:uid="{4C562066-916A-4BA8-970E-596035AB852E}"/>
    <cellStyle name="Note 58" xfId="1664" xr:uid="{961B6555-83A5-4498-A685-27DC0B34B6DF}"/>
    <cellStyle name="Note 58 2" xfId="6810" xr:uid="{0FC29E8B-E01F-4E9C-9D55-F3930600315A}"/>
    <cellStyle name="Note 58 3" xfId="6811" xr:uid="{C00F1309-5222-4A1D-B164-4F8759242473}"/>
    <cellStyle name="Note 58_Exist Trunk Assets - Ferry" xfId="9697" xr:uid="{6F916E5B-A957-4B99-9422-9756102B9500}"/>
    <cellStyle name="Note 59" xfId="1665" xr:uid="{9D43CE61-4357-474A-B40B-843058264147}"/>
    <cellStyle name="Note 59 2" xfId="6812" xr:uid="{3ADA5A44-BD0A-4813-A690-30825106B42F}"/>
    <cellStyle name="Note 59 3" xfId="6813" xr:uid="{9B3A6F7E-E80B-4C2E-B0D9-60146EA1B85F}"/>
    <cellStyle name="Note 59_Exist Trunk Assets - Ferry" xfId="9698" xr:uid="{72FDF7D5-475F-4307-9907-51CC1E0D3F11}"/>
    <cellStyle name="Note 6" xfId="1666" xr:uid="{71B701E3-62BD-444C-A9EC-53E3EC6FD581}"/>
    <cellStyle name="Note 6 2" xfId="1667" xr:uid="{8F212468-63B0-4659-BEBE-AE5C202DD7A4}"/>
    <cellStyle name="Note 6 2 2" xfId="6814" xr:uid="{8287508B-9D28-4728-A2BB-5765B41D6D36}"/>
    <cellStyle name="Note 6 2 2 2" xfId="6815" xr:uid="{A5796D35-165C-4A37-A1E7-0582F9014EF4}"/>
    <cellStyle name="Note 6 2 2_Exist Trunk Assets - Ferry" xfId="9701" xr:uid="{D24B2467-7C2D-4DBD-B59D-9A55F748D1FE}"/>
    <cellStyle name="Note 6 2 3" xfId="6816" xr:uid="{6991B2BC-954A-4D18-8017-FFC4ABAFD745}"/>
    <cellStyle name="Note 6 2 3 2" xfId="6817" xr:uid="{33F93D88-0DD5-4DCC-A9CC-52352766C7B1}"/>
    <cellStyle name="Note 6 2 3_Exist Trunk Assets - Ferry" xfId="9702" xr:uid="{D78B97BF-CA5A-41F8-893D-A8F63C1DB16C}"/>
    <cellStyle name="Note 6 2 4" xfId="6818" xr:uid="{3AB06C0F-F13E-4D9D-B2DF-466116F961C5}"/>
    <cellStyle name="Note 6 2 5" xfId="6819" xr:uid="{39FBBC26-7079-41AA-8670-1365E13706B5}"/>
    <cellStyle name="Note 6 2 6" xfId="6820" xr:uid="{BA3A125A-9A21-4098-A04A-761C5F85E72B}"/>
    <cellStyle name="Note 6 2_Exist Trunk Assets - Ferry" xfId="9700" xr:uid="{BA0C4AC3-97F1-465F-83FB-24578807A3F7}"/>
    <cellStyle name="Note 6 3" xfId="6821" xr:uid="{6CCF8260-D66D-4371-8CAE-B0EEE57D21AA}"/>
    <cellStyle name="Note 6 3 2" xfId="6822" xr:uid="{6979D828-0B38-427D-80D8-C284B0B79B57}"/>
    <cellStyle name="Note 6 3_Exist Trunk Assets - Ferry" xfId="9703" xr:uid="{1B3E3A5E-04E4-4F2A-BF18-02434B4F9308}"/>
    <cellStyle name="Note 6 4" xfId="6823" xr:uid="{7B068F48-1D27-4509-85AE-F5D13497F874}"/>
    <cellStyle name="Note 6 4 2" xfId="6824" xr:uid="{9DA0BB66-A31C-4F3E-A957-A8B48DC3984D}"/>
    <cellStyle name="Note 6 4_Exist Trunk Assets - Ferry" xfId="9704" xr:uid="{6288DCB2-E329-4C25-8052-02D361219F22}"/>
    <cellStyle name="Note 6 5" xfId="6825" xr:uid="{D81331B0-02CC-4B3E-B5E8-3275B8FE5464}"/>
    <cellStyle name="Note 6 6" xfId="6826" xr:uid="{DE870B3B-34BD-4E2C-9827-067400F26905}"/>
    <cellStyle name="Note 6 7" xfId="6827" xr:uid="{722D59BA-71C4-4C92-8B03-5243254A5FDB}"/>
    <cellStyle name="Note 6_Exist Trunk Assets - Ferry" xfId="9699" xr:uid="{2F9DE4D1-CDDF-48BB-9023-80E154057398}"/>
    <cellStyle name="Note 60" xfId="1668" xr:uid="{C0FC6510-3BAB-45A6-BB66-C4592345BC5F}"/>
    <cellStyle name="Note 60 2" xfId="6828" xr:uid="{F515A3BE-6302-4B2C-B6C7-F7D4F158F60B}"/>
    <cellStyle name="Note 60 3" xfId="6829" xr:uid="{B46C0E19-AB75-4E10-AC2C-DFBAC80C98CE}"/>
    <cellStyle name="Note 60_Exist Trunk Assets - Ferry" xfId="9705" xr:uid="{4B664902-A640-4D2A-A8A5-5F45676622C9}"/>
    <cellStyle name="Note 61" xfId="1669" xr:uid="{47782385-8090-43A5-A03A-1834ECB92683}"/>
    <cellStyle name="Note 61 2" xfId="6830" xr:uid="{6365F3B6-2A5F-4F8E-9F37-FA88E92900F5}"/>
    <cellStyle name="Note 61 3" xfId="6831" xr:uid="{B5605155-41D6-4D72-8118-ED233256614B}"/>
    <cellStyle name="Note 61_Exist Trunk Assets - Ferry" xfId="9706" xr:uid="{BB8EE3E8-943E-40EE-8713-D447029963A0}"/>
    <cellStyle name="Note 62" xfId="1670" xr:uid="{60285AC8-9295-4324-A93D-11B7519FB43F}"/>
    <cellStyle name="Note 62 2" xfId="6832" xr:uid="{C192E56C-EFF3-432B-9B87-2F85C9CEFE61}"/>
    <cellStyle name="Note 62 3" xfId="6833" xr:uid="{B64BA66B-BAE1-447D-AAA2-87886AEF17AC}"/>
    <cellStyle name="Note 62_Exist Trunk Assets - Ferry" xfId="9707" xr:uid="{6C225FB9-DFD6-45FD-A959-47D7218F3E00}"/>
    <cellStyle name="Note 63" xfId="1671" xr:uid="{7D9ACF2A-F717-44E4-9D79-5F42C4647644}"/>
    <cellStyle name="Note 63 2" xfId="6834" xr:uid="{FD50BADA-4FF9-4033-8C2D-DDA4A122E352}"/>
    <cellStyle name="Note 63 3" xfId="6835" xr:uid="{51682573-65B2-4D69-AA20-18B9D3BA13CD}"/>
    <cellStyle name="Note 63_Exist Trunk Assets - Ferry" xfId="9708" xr:uid="{7ECFAC60-92AE-4088-9568-F0E340E452B7}"/>
    <cellStyle name="Note 64" xfId="1672" xr:uid="{8A352605-6C80-487C-B1B6-941F58532F25}"/>
    <cellStyle name="Note 64 2" xfId="6836" xr:uid="{CD9469EC-75BD-45C9-AB6D-EA91FAE660D6}"/>
    <cellStyle name="Note 64 3" xfId="6837" xr:uid="{27EDC250-8852-4673-B0C8-EB1A0585C966}"/>
    <cellStyle name="Note 64_Exist Trunk Assets - Ferry" xfId="9709" xr:uid="{B365FB47-D59E-4304-9457-DE91D388A870}"/>
    <cellStyle name="Note 65" xfId="1673" xr:uid="{DC1D0026-7BBA-499F-B231-3224002C7DF4}"/>
    <cellStyle name="Note 65 2" xfId="6838" xr:uid="{40748BEF-60DE-4BA0-B9E2-7C8D3A3EC51E}"/>
    <cellStyle name="Note 65 3" xfId="6839" xr:uid="{AFEBDED5-EC9B-49CE-9AD4-52A22E4C3E3C}"/>
    <cellStyle name="Note 65_Exist Trunk Assets - Ferry" xfId="9710" xr:uid="{B99718E3-1710-449F-8E8D-2348941F5810}"/>
    <cellStyle name="Note 66" xfId="1674" xr:uid="{4DC137F3-816A-4603-8DA2-83221763D216}"/>
    <cellStyle name="Note 66 2" xfId="6840" xr:uid="{3833A7AA-F483-4D5D-BC47-9E7920DBD912}"/>
    <cellStyle name="Note 66 3" xfId="6841" xr:uid="{83E29C7A-513B-4457-9843-7F7FBD10943E}"/>
    <cellStyle name="Note 66_Exist Trunk Assets - Ferry" xfId="9711" xr:uid="{059117A6-C8BF-4296-9D09-2401E39127C2}"/>
    <cellStyle name="Note 67" xfId="1675" xr:uid="{FA334E05-DEF3-4FF2-9CE4-F4AEA39BF56B}"/>
    <cellStyle name="Note 67 2" xfId="6842" xr:uid="{4AC6CD67-875E-4C5B-B712-D4AB20F8A683}"/>
    <cellStyle name="Note 67 3" xfId="6843" xr:uid="{C6DF5430-B576-425B-9DCE-960573FDFD90}"/>
    <cellStyle name="Note 67_Exist Trunk Assets - Ferry" xfId="9712" xr:uid="{9B99FAAC-9E10-4D0D-AA91-2098C6A8636E}"/>
    <cellStyle name="Note 68" xfId="1676" xr:uid="{214D569F-B1D2-42BB-8565-DD584BC906E5}"/>
    <cellStyle name="Note 68 2" xfId="6844" xr:uid="{2AFD137E-877D-4FB7-857F-814F329E9169}"/>
    <cellStyle name="Note 68 3" xfId="6845" xr:uid="{5E56361A-6FB8-47FF-A221-A499F703704A}"/>
    <cellStyle name="Note 68_Exist Trunk Assets - Ferry" xfId="9713" xr:uid="{4B795B58-D689-4AF1-9724-9AE753F22762}"/>
    <cellStyle name="Note 69" xfId="1677" xr:uid="{E8C11E7B-C67A-44D8-AF80-012DD648C68C}"/>
    <cellStyle name="Note 69 2" xfId="6846" xr:uid="{C355EA66-0AA7-4EFD-AED5-DB875100F872}"/>
    <cellStyle name="Note 69 3" xfId="6847" xr:uid="{3536C0AF-900A-4D59-95A4-74799670DEFF}"/>
    <cellStyle name="Note 69_Exist Trunk Assets - Ferry" xfId="9714" xr:uid="{6635AA35-54C3-4093-8C0E-FFF6047D0F83}"/>
    <cellStyle name="Note 7" xfId="1678" xr:uid="{D22EF05F-E275-4FDD-94E1-2B39682F1205}"/>
    <cellStyle name="Note 7 2" xfId="1679" xr:uid="{BD2F2331-77D7-4C05-91FF-F800736B5DED}"/>
    <cellStyle name="Note 7 2 2" xfId="6848" xr:uid="{9745951C-4F07-4527-92F6-61A438BE06B5}"/>
    <cellStyle name="Note 7 2 2 2" xfId="6849" xr:uid="{2E0631AB-B3A2-42DF-9747-0B381D9DB521}"/>
    <cellStyle name="Note 7 2 2_Exist Trunk Assets - Ferry" xfId="9717" xr:uid="{573356AC-0930-4F22-B394-15BBD72C0E8E}"/>
    <cellStyle name="Note 7 2 3" xfId="6850" xr:uid="{23B76D5A-5A09-47BB-9BE7-45CA3F324307}"/>
    <cellStyle name="Note 7 2 3 2" xfId="6851" xr:uid="{FE66F30A-8E29-4F1C-95D8-6E485AED9946}"/>
    <cellStyle name="Note 7 2 3_Exist Trunk Assets - Ferry" xfId="9718" xr:uid="{18386DD1-8BEE-492B-A557-057F7CB3B092}"/>
    <cellStyle name="Note 7 2 4" xfId="6852" xr:uid="{87558697-0C5D-433C-9DE0-45AC0D425ECA}"/>
    <cellStyle name="Note 7 2 5" xfId="6853" xr:uid="{31D88218-8EC1-4A9A-ADBB-7735C32E8EC1}"/>
    <cellStyle name="Note 7 2 6" xfId="6854" xr:uid="{245A64C4-C9B0-4950-BE96-E932FFCDBC02}"/>
    <cellStyle name="Note 7 2_Exist Trunk Assets - Ferry" xfId="9716" xr:uid="{9A1694C2-C78A-4D10-B5E0-C212C1EB776B}"/>
    <cellStyle name="Note 7 3" xfId="6855" xr:uid="{30E895D5-BD0C-4830-B512-CB5F01B04C2F}"/>
    <cellStyle name="Note 7 3 2" xfId="6856" xr:uid="{C94F0345-7D1A-43F2-BA8F-601E949B4BEF}"/>
    <cellStyle name="Note 7 3_Exist Trunk Assets - Ferry" xfId="9719" xr:uid="{E5758949-F607-408D-BE3A-18D725163BFC}"/>
    <cellStyle name="Note 7 4" xfId="6857" xr:uid="{B332921A-293B-403D-A483-43E0DC43904B}"/>
    <cellStyle name="Note 7 4 2" xfId="6858" xr:uid="{69872B0A-BBEF-4831-84C7-5E65023F8C5A}"/>
    <cellStyle name="Note 7 4_Exist Trunk Assets - Ferry" xfId="9720" xr:uid="{31240622-DF7A-4C50-B23E-679C917513B0}"/>
    <cellStyle name="Note 7 5" xfId="6859" xr:uid="{E81489CF-1A46-4F7A-8890-532960E5E355}"/>
    <cellStyle name="Note 7 6" xfId="6860" xr:uid="{4D2D401D-87DA-4A54-A31A-C22D619A93A4}"/>
    <cellStyle name="Note 7 7" xfId="6861" xr:uid="{11302C75-DE67-4203-8D55-E28A6E85AF5B}"/>
    <cellStyle name="Note 7_Exist Trunk Assets - Ferry" xfId="9715" xr:uid="{4EC0BD9C-3EA4-488B-87B1-FB00244107EC}"/>
    <cellStyle name="Note 70" xfId="1680" xr:uid="{71EC4348-30CF-486A-A83F-8E454B1AD53B}"/>
    <cellStyle name="Note 70 2" xfId="6862" xr:uid="{E119FB1D-A048-44B4-AABB-290A92B309AE}"/>
    <cellStyle name="Note 70 3" xfId="6863" xr:uid="{868BF048-4F30-4B4F-8A65-3C683FF17B65}"/>
    <cellStyle name="Note 70_Exist Trunk Assets - Ferry" xfId="9721" xr:uid="{2291320C-4863-4417-BA3E-3D7D2237E7AC}"/>
    <cellStyle name="Note 71" xfId="1681" xr:uid="{B13CB6BF-D235-4DD3-99FA-81A821D92767}"/>
    <cellStyle name="Note 71 2" xfId="6864" xr:uid="{F4189083-5ED8-4516-A904-43BDADCD501A}"/>
    <cellStyle name="Note 71 3" xfId="6865" xr:uid="{E313B2FD-E76E-436C-8DE0-83C5A5FC9070}"/>
    <cellStyle name="Note 71_Exist Trunk Assets - Ferry" xfId="9722" xr:uid="{C5840CB7-5B02-40AB-A9C0-FC44D47C49BA}"/>
    <cellStyle name="Note 8" xfId="1682" xr:uid="{88D09623-8E51-4996-88FD-2917A50EAC63}"/>
    <cellStyle name="Note 8 2" xfId="1683" xr:uid="{6B167AC9-49B6-4ED4-8A11-97756A8338EB}"/>
    <cellStyle name="Note 8 2 2" xfId="6866" xr:uid="{E5E638E5-24E9-433E-9DE5-217529050D76}"/>
    <cellStyle name="Note 8 2 2 2" xfId="6867" xr:uid="{919400DB-1F8B-49AA-8E27-E4631C08F133}"/>
    <cellStyle name="Note 8 2 2_Exist Trunk Assets - Ferry" xfId="9725" xr:uid="{F4063188-5D52-4ABF-BC50-B8B6A0B37109}"/>
    <cellStyle name="Note 8 2 3" xfId="6868" xr:uid="{AA66CD58-12E4-406C-8BBF-8458DC3A6904}"/>
    <cellStyle name="Note 8 2 3 2" xfId="6869" xr:uid="{39689358-3C02-47E3-807D-413A57D93DB2}"/>
    <cellStyle name="Note 8 2 3_Exist Trunk Assets - Ferry" xfId="9726" xr:uid="{6D0225CE-9670-4E51-B4EF-796169AEC0CD}"/>
    <cellStyle name="Note 8 2 4" xfId="6870" xr:uid="{33D1F78D-23A7-4357-A6EE-225CEBA133CA}"/>
    <cellStyle name="Note 8 2 5" xfId="6871" xr:uid="{EE2BDBE8-752F-45EC-B02A-0124677E701E}"/>
    <cellStyle name="Note 8 2 6" xfId="6872" xr:uid="{D1D2BFE0-985E-4AF9-8D24-EDF0DD9399C9}"/>
    <cellStyle name="Note 8 2_Exist Trunk Assets - Ferry" xfId="9724" xr:uid="{30828A32-4393-45E7-A75E-A286418E6751}"/>
    <cellStyle name="Note 8 3" xfId="6873" xr:uid="{74E7898B-6E06-4C2F-93C4-A1C4486F3D04}"/>
    <cellStyle name="Note 8 3 2" xfId="6874" xr:uid="{C0254D37-CF61-4E6E-AADF-F7196346A860}"/>
    <cellStyle name="Note 8 3_Exist Trunk Assets - Ferry" xfId="9727" xr:uid="{36A73C9E-E97C-4D47-BDE3-E792EE6D5E41}"/>
    <cellStyle name="Note 8 4" xfId="6875" xr:uid="{F8246984-410B-4521-8E76-C83EB80886FB}"/>
    <cellStyle name="Note 8 4 2" xfId="6876" xr:uid="{9EF5227C-0182-4DF0-A45A-87BCD642329B}"/>
    <cellStyle name="Note 8 4_Exist Trunk Assets - Ferry" xfId="9728" xr:uid="{641AA309-929C-424D-A3A4-7B3DF63FCC40}"/>
    <cellStyle name="Note 8 5" xfId="6877" xr:uid="{7C80699E-E9FA-48CC-9F37-FA8AB33C5EB7}"/>
    <cellStyle name="Note 8 6" xfId="6878" xr:uid="{AB07DE85-03D9-489A-A08E-63D253065C33}"/>
    <cellStyle name="Note 8 7" xfId="6879" xr:uid="{A474F0AD-3CA7-4101-89E5-003751FAC56C}"/>
    <cellStyle name="Note 8_Exist Trunk Assets - Ferry" xfId="9723" xr:uid="{6CD9051D-80C3-4908-A43A-800EF10056D2}"/>
    <cellStyle name="Note 9" xfId="1684" xr:uid="{C274608B-4D6B-4FB5-9CFB-809FB76B3545}"/>
    <cellStyle name="Note 9 2" xfId="1685" xr:uid="{7A93725A-9C2B-441F-BA6D-4C1DC07D4E97}"/>
    <cellStyle name="Note 9 2 2" xfId="6880" xr:uid="{89790226-31F6-4BB0-B341-3EA5B6CFEE4A}"/>
    <cellStyle name="Note 9 2 2 2" xfId="6881" xr:uid="{D11E4690-F7EE-4187-BCAA-AE9A11DB6206}"/>
    <cellStyle name="Note 9 2 2_Exist Trunk Assets - Ferry" xfId="9731" xr:uid="{E89D01EF-23E8-4FFB-A54D-27AF366B935E}"/>
    <cellStyle name="Note 9 2 3" xfId="6882" xr:uid="{9AAAD513-90E4-43FB-9800-19F6A7AED1B3}"/>
    <cellStyle name="Note 9 2 3 2" xfId="6883" xr:uid="{6811304C-C32C-4D06-9AC1-7168CEDE354E}"/>
    <cellStyle name="Note 9 2 3_Exist Trunk Assets - Ferry" xfId="9732" xr:uid="{080D25DC-CA54-484A-A801-152B063CADAC}"/>
    <cellStyle name="Note 9 2 4" xfId="6884" xr:uid="{0FF3C4C4-87C6-49A5-A144-546CCB39F993}"/>
    <cellStyle name="Note 9 2 5" xfId="6885" xr:uid="{F428A323-C04F-45C7-97B6-191ECB1AF786}"/>
    <cellStyle name="Note 9 2 6" xfId="6886" xr:uid="{1C556249-9AC0-414C-A29A-84FF1FB2E990}"/>
    <cellStyle name="Note 9 2_Exist Trunk Assets - Ferry" xfId="9730" xr:uid="{DBFC9C76-5362-4F91-A8B9-844D4F9DDB88}"/>
    <cellStyle name="Note 9 3" xfId="6887" xr:uid="{74571910-0E3E-43EB-AEE1-E07C97F8F77E}"/>
    <cellStyle name="Note 9 3 2" xfId="6888" xr:uid="{26887177-0B97-44BE-A5E1-12A4ED7A10C9}"/>
    <cellStyle name="Note 9 3_Exist Trunk Assets - Ferry" xfId="9733" xr:uid="{4853D71E-1912-4F72-B393-F957AD36FD3B}"/>
    <cellStyle name="Note 9 4" xfId="6889" xr:uid="{D5EE0B6B-028D-4A99-9420-42526269111F}"/>
    <cellStyle name="Note 9 4 2" xfId="6890" xr:uid="{DABA39C6-0B0D-49A3-8A4D-A408A99F445E}"/>
    <cellStyle name="Note 9 4_Exist Trunk Assets - Ferry" xfId="9734" xr:uid="{FAE35BEA-219F-48E5-8B8B-2C646A53A20F}"/>
    <cellStyle name="Note 9 5" xfId="6891" xr:uid="{8F834924-E415-456C-8066-1798B6667EBE}"/>
    <cellStyle name="Note 9 6" xfId="6892" xr:uid="{F4116BE9-947C-4FB6-94BD-56997A14343B}"/>
    <cellStyle name="Note 9 7" xfId="6893" xr:uid="{A5570C93-3060-49FF-A7E2-14191B3F8F80}"/>
    <cellStyle name="Note 9_Exist Trunk Assets - Ferry" xfId="9729" xr:uid="{6078D452-F3D9-4650-81BA-BE1F3843D8B6}"/>
    <cellStyle name="Number 1 dec, 9 pt (centred)" xfId="2180" xr:uid="{3F6A67D3-3AED-46D2-8E2C-80023475E093}"/>
    <cellStyle name="Number 1 dec, 9 pt (centred) 2" xfId="6894" xr:uid="{69788C03-8FB7-4F1F-9477-81313BEEA30C}"/>
    <cellStyle name="Number 1 dec, 9 pt (centred) 3" xfId="6895" xr:uid="{32300F3D-BEA3-4204-B6A2-0C1CD9B37102}"/>
    <cellStyle name="Number 1 dec, 9 pt (centred)_Exist Trunk Assets - Ferry" xfId="9735" xr:uid="{93D76EC3-B77B-49EC-8036-D50CAEF8D27C}"/>
    <cellStyle name="O_#_0dp" xfId="2181" xr:uid="{76F08F2D-1A19-4439-88FE-68F51749F713}"/>
    <cellStyle name="O_#_0dp 2" xfId="6896" xr:uid="{BEAEB16B-8499-48CF-9907-C4BBCC5393B0}"/>
    <cellStyle name="O_#_0dp 2_Exist Trunk Assets - Ferry" xfId="9737" xr:uid="{7D2A316E-4763-41C5-B6D6-20401A86A4AE}"/>
    <cellStyle name="O_#_0dp 2_Existing Trunk Assets - Pathway" xfId="8169" xr:uid="{12D68240-0E15-4D31-9E97-1F2F640ED0E3}"/>
    <cellStyle name="O_#_0dp 2_Future Trunk Assets - Ferry" xfId="8234" xr:uid="{447EE5BB-0F2D-48C9-8FE4-82376DD061ED}"/>
    <cellStyle name="O_#_0dp 3" xfId="6897" xr:uid="{565B6710-C440-4173-9A8F-4242FFBDA48E}"/>
    <cellStyle name="O_#_0dp 3_Exist Trunk Assets - Ferry" xfId="9738" xr:uid="{21C301AA-FFA0-48CB-9A85-871D4D11DB8D}"/>
    <cellStyle name="O_#_0dp 3_Existing Trunk Assets - Pathway" xfId="8170" xr:uid="{8DDD5264-7602-4D1F-99D5-9DB24407F0E0}"/>
    <cellStyle name="O_#_0dp 3_Future Trunk Assets - Ferry" xfId="8235" xr:uid="{7E372726-8E12-4CF6-824C-E17244EF837C}"/>
    <cellStyle name="O_#_0dp_Exist Trunk Assets - Ferry" xfId="9736" xr:uid="{AB004225-3C58-4572-887E-A33FE4F7BF23}"/>
    <cellStyle name="O_#_0dp_Existing Trunk Assets - Pathway" xfId="8168" xr:uid="{3A352AA8-D89D-451B-B561-CF0939382E3E}"/>
    <cellStyle name="O_#_0dp_Future Trunk Assets - Ferry" xfId="8233" xr:uid="{3E791AF4-6A97-4CA3-AB5F-463FB6FB8D4D}"/>
    <cellStyle name="O_#_0dp_Preliminary Results" xfId="2182" xr:uid="{95BD7A86-246A-4DFB-99FF-EC39C192B2A0}"/>
    <cellStyle name="O_#_0dp_Preliminary Results 2" xfId="6898" xr:uid="{26164FD4-46F9-46F1-877B-4F609A16DF1E}"/>
    <cellStyle name="O_#_0dp_Preliminary Results 2_Exist Trunk Assets - Ferry" xfId="9740" xr:uid="{798A8298-AF5F-49BB-B1A5-31EAAC9C8FAF}"/>
    <cellStyle name="O_#_0dp_Preliminary Results 2_Existing Trunk Assets - Pathway" xfId="8172" xr:uid="{1174A08A-8C74-4663-ACBB-B114592D4CDE}"/>
    <cellStyle name="O_#_0dp_Preliminary Results 2_Future Trunk Assets - Ferry" xfId="8237" xr:uid="{3F830A8F-039F-4158-9691-086C9729FBF6}"/>
    <cellStyle name="O_#_0dp_Preliminary Results 3" xfId="6899" xr:uid="{F3FC3F6C-A6DB-4BA2-9210-61A604843FC8}"/>
    <cellStyle name="O_#_0dp_Preliminary Results 3_Exist Trunk Assets - Ferry" xfId="9741" xr:uid="{788F771A-1AC5-414E-981C-23F30B63F701}"/>
    <cellStyle name="O_#_0dp_Preliminary Results 3_Existing Trunk Assets - Pathway" xfId="8173" xr:uid="{40FBCC2D-FEFD-41AF-BE50-C56796893F44}"/>
    <cellStyle name="O_#_0dp_Preliminary Results 3_Future Trunk Assets - Ferry" xfId="8238" xr:uid="{170A37DC-B028-4BED-BAB3-1A21F0792A16}"/>
    <cellStyle name="O_#_0dp_Preliminary Results_Exist Trunk Assets - Ferry" xfId="9739" xr:uid="{05312E28-6A52-4BE7-90F9-4A3F86C043A1}"/>
    <cellStyle name="O_#_0dp_Preliminary Results_Existing Trunk Assets - Pathway" xfId="8171" xr:uid="{1BC3823D-C743-448F-9967-FDA025DDA293}"/>
    <cellStyle name="O_#_0dp_Preliminary Results_Future Trunk Assets - Ferry" xfId="8236" xr:uid="{900980BA-ECE7-4BC8-A2B3-DE8DFB3424D9}"/>
    <cellStyle name="O_#_0dp_Wiggins Island Model v3.0 081003" xfId="2183" xr:uid="{7859092E-9360-45CE-A1DF-3D0647948475}"/>
    <cellStyle name="O_#_0dp_Wiggins Island Model v3.0 081003 2" xfId="6900" xr:uid="{8C931E8C-2121-4DBA-89D2-ACDF3580CA66}"/>
    <cellStyle name="O_#_0dp_Wiggins Island Model v3.0 081003 2_Exist Trunk Assets - Ferry" xfId="9743" xr:uid="{86FA16CA-073A-406F-A291-88ACE86A4F17}"/>
    <cellStyle name="O_#_0dp_Wiggins Island Model v3.0 081003 2_Existing Trunk Assets - Pathway" xfId="8175" xr:uid="{E5CA47F9-B767-4FD8-82A7-C6E2F20821A7}"/>
    <cellStyle name="O_#_0dp_Wiggins Island Model v3.0 081003 2_Future Trunk Assets - Ferry" xfId="8240" xr:uid="{5F983C23-D32F-43D4-9595-3652F93D5B8E}"/>
    <cellStyle name="O_#_0dp_Wiggins Island Model v3.0 081003 3" xfId="6901" xr:uid="{4159F6B9-C915-4877-9CAB-EA68036EFB59}"/>
    <cellStyle name="O_#_0dp_Wiggins Island Model v3.0 081003 3_Exist Trunk Assets - Ferry" xfId="9744" xr:uid="{F1746044-7F20-43C4-BFBE-17166B811AF5}"/>
    <cellStyle name="O_#_0dp_Wiggins Island Model v3.0 081003 3_Existing Trunk Assets - Pathway" xfId="8176" xr:uid="{9CE9D2D2-1027-4EFF-AE0F-7124D2ABF6CD}"/>
    <cellStyle name="O_#_0dp_Wiggins Island Model v3.0 081003 3_Future Trunk Assets - Ferry" xfId="8241" xr:uid="{12714176-9E2E-43F6-94EF-BC2AE4D00A3F}"/>
    <cellStyle name="O_#_0dp_Wiggins Island Model v3.0 081003_Exist Trunk Assets - Ferry" xfId="9742" xr:uid="{35A37719-89EC-40BA-85C2-F22084604B70}"/>
    <cellStyle name="O_#_0dp_Wiggins Island Model v3.0 081003_Existing Trunk Assets - Pathway" xfId="8174" xr:uid="{A3A21461-795E-4026-93E2-1732458487C1}"/>
    <cellStyle name="O_#_0dp_Wiggins Island Model v3.0 081003_Future Trunk Assets - Ferry" xfId="8239" xr:uid="{28546E14-1E76-4428-915B-FF7F7CA72284}"/>
    <cellStyle name="O_#_4dp" xfId="2184" xr:uid="{1E041FC4-3F60-4282-A2F1-34D59B9BD27D}"/>
    <cellStyle name="O_#_4dp 2" xfId="6902" xr:uid="{DDF2723E-9492-4F1B-81BD-BC95B1A573AA}"/>
    <cellStyle name="O_#_4dp 2_Exist Trunk Assets - Ferry" xfId="9746" xr:uid="{38620810-BE4F-49F0-9EC4-197011158D1B}"/>
    <cellStyle name="O_#_4dp 2_Existing Trunk Assets - Pathway" xfId="8178" xr:uid="{D6B0540E-1EF1-4A17-B4B7-6A4900AB8D76}"/>
    <cellStyle name="O_#_4dp 2_Future Trunk Assets - Ferry" xfId="8243" xr:uid="{030ACE30-047F-466A-9F70-CF1055499937}"/>
    <cellStyle name="O_#_4dp 3" xfId="6903" xr:uid="{DAA1BE23-84A1-4CBD-9EA8-09F006C9ED12}"/>
    <cellStyle name="O_#_4dp 3_Exist Trunk Assets - Ferry" xfId="9747" xr:uid="{C325346B-22E1-4651-AE48-24ED5821465F}"/>
    <cellStyle name="O_#_4dp 3_Existing Trunk Assets - Pathway" xfId="8179" xr:uid="{8FD27E17-9A6A-4BC4-9AC3-03D0C710AC37}"/>
    <cellStyle name="O_#_4dp 3_Future Trunk Assets - Ferry" xfId="8244" xr:uid="{9FD6BAFE-307D-4D4A-B436-166851AEB6AF}"/>
    <cellStyle name="O_#_4dp_Exist Trunk Assets - Ferry" xfId="9745" xr:uid="{B960F6DC-0AD9-47DE-B2B5-4A297DA6A963}"/>
    <cellStyle name="O_#_4dp_Existing Trunk Assets - Pathway" xfId="8177" xr:uid="{B47E5ECF-E00F-42B4-8F54-0279E498A962}"/>
    <cellStyle name="O_#_4dp_Future Trunk Assets - Ferry" xfId="8242" xr:uid="{77CCFBED-9B66-4345-9690-9B566BDE667E}"/>
    <cellStyle name="O_#_4dp_Preliminary Results" xfId="2185" xr:uid="{E163D617-7E94-439D-BA5E-439803987763}"/>
    <cellStyle name="O_#_4dp_Preliminary Results 2" xfId="6904" xr:uid="{193AD19C-785F-4518-AC54-DE61BD38F65A}"/>
    <cellStyle name="O_#_4dp_Preliminary Results 2_Exist Trunk Assets - Ferry" xfId="9749" xr:uid="{BB7B8099-83EE-49D8-B119-3225044B7AA2}"/>
    <cellStyle name="O_#_4dp_Preliminary Results 2_Existing Trunk Assets - Pathway" xfId="8181" xr:uid="{36C4CF91-7F01-4103-88C0-1FC460FE6C3D}"/>
    <cellStyle name="O_#_4dp_Preliminary Results 2_Future Trunk Assets - Ferry" xfId="8246" xr:uid="{9DB7F780-939A-4718-B445-FDA7099BA733}"/>
    <cellStyle name="O_#_4dp_Preliminary Results 3" xfId="6905" xr:uid="{AC9F9DD9-B284-4C89-9567-49A2E5D0A25C}"/>
    <cellStyle name="O_#_4dp_Preliminary Results 3_Exist Trunk Assets - Ferry" xfId="9750" xr:uid="{229E2820-0EDF-4CB7-86EE-9F743B5D5730}"/>
    <cellStyle name="O_#_4dp_Preliminary Results 3_Existing Trunk Assets - Pathway" xfId="8182" xr:uid="{48720F82-58C4-4044-818C-794332F4824F}"/>
    <cellStyle name="O_#_4dp_Preliminary Results 3_Future Trunk Assets - Ferry" xfId="8247" xr:uid="{C9A99265-5ECC-43B0-B25C-803763019154}"/>
    <cellStyle name="O_#_4dp_Preliminary Results_Exist Trunk Assets - Ferry" xfId="9748" xr:uid="{01D2B4B1-160F-475E-B57E-767574B6D239}"/>
    <cellStyle name="O_#_4dp_Preliminary Results_Existing Trunk Assets - Pathway" xfId="8180" xr:uid="{DBA4C544-9C51-437B-8E54-D2FA6F41DC12}"/>
    <cellStyle name="O_#_4dp_Preliminary Results_Future Trunk Assets - Ferry" xfId="8245" xr:uid="{63A56F3C-332B-4195-A43A-941D992AA09C}"/>
    <cellStyle name="O_#_4dp_Wiggins Island Model v3.0 081003" xfId="2186" xr:uid="{FB891770-1285-4173-9629-3F69AB7755D8}"/>
    <cellStyle name="O_#_4dp_Wiggins Island Model v3.0 081003 2" xfId="6906" xr:uid="{FDC984CD-2A80-4624-982C-01DB5834690C}"/>
    <cellStyle name="O_#_4dp_Wiggins Island Model v3.0 081003 2_Exist Trunk Assets - Ferry" xfId="9752" xr:uid="{F9070F7C-1F57-4E10-AA68-8123C513B8D5}"/>
    <cellStyle name="O_#_4dp_Wiggins Island Model v3.0 081003 2_Existing Trunk Assets - Pathway" xfId="8184" xr:uid="{E4A060E4-60CC-4EF2-9EE5-0435D9D37CCE}"/>
    <cellStyle name="O_#_4dp_Wiggins Island Model v3.0 081003 2_Future Trunk Assets - Ferry" xfId="8249" xr:uid="{6D35109A-4767-49CD-81CB-C5B224B07AA8}"/>
    <cellStyle name="O_#_4dp_Wiggins Island Model v3.0 081003 3" xfId="6907" xr:uid="{EE5A7781-0B90-4D8C-AA0B-E23967453479}"/>
    <cellStyle name="O_#_4dp_Wiggins Island Model v3.0 081003 3_Exist Trunk Assets - Ferry" xfId="9753" xr:uid="{942550D4-031D-4364-8EBA-29E72837714A}"/>
    <cellStyle name="O_#_4dp_Wiggins Island Model v3.0 081003 3_Existing Trunk Assets - Pathway" xfId="8185" xr:uid="{30441058-2CEC-4EC4-A0C2-9CC7F4F5692B}"/>
    <cellStyle name="O_#_4dp_Wiggins Island Model v3.0 081003 3_Future Trunk Assets - Ferry" xfId="8250" xr:uid="{2875B1A6-5278-4EA9-8DCC-A9F7AF685A0C}"/>
    <cellStyle name="O_#_4dp_Wiggins Island Model v3.0 081003_Exist Trunk Assets - Ferry" xfId="9751" xr:uid="{3DF6000E-33A0-478A-8866-2D1328771499}"/>
    <cellStyle name="O_#_4dp_Wiggins Island Model v3.0 081003_Existing Trunk Assets - Pathway" xfId="8183" xr:uid="{56E64D11-6213-4510-8995-2A7836577953}"/>
    <cellStyle name="O_#_4dp_Wiggins Island Model v3.0 081003_Future Trunk Assets - Ferry" xfId="8248" xr:uid="{333B6185-4916-4963-9CC6-6398950B88B2}"/>
    <cellStyle name="O_%_2dp" xfId="2187" xr:uid="{66FDE84D-449C-4A2E-9C03-A436AA3EE78A}"/>
    <cellStyle name="O_%_2dp 2" xfId="6908" xr:uid="{F8694773-5655-46EA-891F-4147C29C0AFE}"/>
    <cellStyle name="O_%_2dp 2_Exist Trunk Assets - Ferry" xfId="9755" xr:uid="{660F3C56-2320-4016-A1D4-0C075B7529BB}"/>
    <cellStyle name="O_%_2dp 2_Existing Trunk Assets - Pathway" xfId="8187" xr:uid="{A326FBD5-3BBC-4EBD-BE58-DB8ED1B3B3E0}"/>
    <cellStyle name="O_%_2dp 2_Future Trunk Assets - Ferry" xfId="8252" xr:uid="{855A586D-8423-4B63-B938-77CAED4C96B1}"/>
    <cellStyle name="O_%_2dp 3" xfId="6909" xr:uid="{E60F5E4A-0443-4319-ADEC-75028BD0BCD3}"/>
    <cellStyle name="O_%_2dp 3_Exist Trunk Assets - Ferry" xfId="9756" xr:uid="{1AC77B8E-14EB-4AFD-9E25-9A4020A20A03}"/>
    <cellStyle name="O_%_2dp 3_Existing Trunk Assets - Pathway" xfId="8188" xr:uid="{2F5F613D-E2A7-4E18-BC1C-E654A4A272FA}"/>
    <cellStyle name="O_%_2dp 3_Future Trunk Assets - Ferry" xfId="8253" xr:uid="{61F6B3B8-4C98-43AB-A520-8DC93870BECC}"/>
    <cellStyle name="O_%_2dp_Exist Trunk Assets - Ferry" xfId="9754" xr:uid="{97F4B391-EDCF-4EDE-9FB0-65772AEE4DE2}"/>
    <cellStyle name="O_%_2dp_Existing Trunk Assets - Pathway" xfId="8186" xr:uid="{5B207417-14A2-48EB-9820-31525DE0F4CC}"/>
    <cellStyle name="O_%_2dp_Future Trunk Assets - Ferry" xfId="8251" xr:uid="{04AF8AAC-C4C9-4C56-813A-7373B719E3FC}"/>
    <cellStyle name="O_%_2dp_Preliminary Results" xfId="2188" xr:uid="{AECD955E-1528-4BF6-8C84-29E4C3A3C49F}"/>
    <cellStyle name="O_%_2dp_Preliminary Results 2" xfId="6910" xr:uid="{2EBABE3D-F176-47DB-ADC1-E3E35A2C2F80}"/>
    <cellStyle name="O_%_2dp_Preliminary Results 2_Exist Trunk Assets - Ferry" xfId="9758" xr:uid="{3E7CF80E-4C24-4C8B-8033-D8B6DFF91781}"/>
    <cellStyle name="O_%_2dp_Preliminary Results 2_Existing Trunk Assets - Pathway" xfId="8190" xr:uid="{34FD7732-9B37-4B69-B3CC-26DD69B3E7A5}"/>
    <cellStyle name="O_%_2dp_Preliminary Results 2_Future Trunk Assets - Ferry" xfId="8255" xr:uid="{391521FF-D58C-4F22-974C-BA02D8EA7710}"/>
    <cellStyle name="O_%_2dp_Preliminary Results 3" xfId="6911" xr:uid="{CDC04A35-265B-4B29-88D9-C995FA12E9CA}"/>
    <cellStyle name="O_%_2dp_Preliminary Results 3_Exist Trunk Assets - Ferry" xfId="9759" xr:uid="{05E36D68-95FE-4C94-B1EB-A22A3A076F0F}"/>
    <cellStyle name="O_%_2dp_Preliminary Results 3_Existing Trunk Assets - Pathway" xfId="8191" xr:uid="{8EC4E0C6-3973-4CFB-87FF-4309BF0A92F6}"/>
    <cellStyle name="O_%_2dp_Preliminary Results 3_Future Trunk Assets - Ferry" xfId="8256" xr:uid="{62CFCDDE-8567-4E0D-85C2-2A4BFB6AE5DC}"/>
    <cellStyle name="O_%_2dp_Preliminary Results_Exist Trunk Assets - Ferry" xfId="9757" xr:uid="{6D1DE0BC-0339-4D55-9D96-ED3B09B2AA58}"/>
    <cellStyle name="O_%_2dp_Preliminary Results_Existing Trunk Assets - Pathway" xfId="8189" xr:uid="{FAEB9C8E-38F2-45E4-AAF1-990EA115C239}"/>
    <cellStyle name="O_%_2dp_Preliminary Results_Future Trunk Assets - Ferry" xfId="8254" xr:uid="{C63557D9-C18C-4D71-B277-E2919E4896C6}"/>
    <cellStyle name="O_%_2dp_Wiggins Island Model v3.0 081003" xfId="2189" xr:uid="{4F72DE1E-993E-4234-95AF-31B4B1281299}"/>
    <cellStyle name="O_%_2dp_Wiggins Island Model v3.0 081003 2" xfId="6912" xr:uid="{D3B387B5-6AA2-4404-951A-BC74F697D6D9}"/>
    <cellStyle name="O_%_2dp_Wiggins Island Model v3.0 081003 2_Exist Trunk Assets - Ferry" xfId="9761" xr:uid="{588983AB-FF33-4A4E-AE2C-1BE6BF40D1B9}"/>
    <cellStyle name="O_%_2dp_Wiggins Island Model v3.0 081003 2_Existing Trunk Assets - Pathway" xfId="8193" xr:uid="{9380978D-9799-47A7-8953-8166BDA2BF6E}"/>
    <cellStyle name="O_%_2dp_Wiggins Island Model v3.0 081003 2_Future Trunk Assets - Ferry" xfId="8258" xr:uid="{9F710E29-4B84-4CBD-A447-C545886BEBD4}"/>
    <cellStyle name="O_%_2dp_Wiggins Island Model v3.0 081003 3" xfId="6913" xr:uid="{66B612AA-12AA-46C9-B4A3-BED35E276671}"/>
    <cellStyle name="O_%_2dp_Wiggins Island Model v3.0 081003 3_Exist Trunk Assets - Ferry" xfId="9762" xr:uid="{205A42AF-758E-47B8-B843-78A412EA819C}"/>
    <cellStyle name="O_%_2dp_Wiggins Island Model v3.0 081003 3_Existing Trunk Assets - Pathway" xfId="8194" xr:uid="{008FAE1C-2D1D-450F-BC7A-0EA75E8B22F3}"/>
    <cellStyle name="O_%_2dp_Wiggins Island Model v3.0 081003 3_Future Trunk Assets - Ferry" xfId="8259" xr:uid="{B37AF2D9-DBC4-450A-8236-65897DF43E72}"/>
    <cellStyle name="O_%_2dp_Wiggins Island Model v3.0 081003_Exist Trunk Assets - Ferry" xfId="9760" xr:uid="{A446EC98-95D9-4969-AD2F-7C080C658A8F}"/>
    <cellStyle name="O_%_2dp_Wiggins Island Model v3.0 081003_Existing Trunk Assets - Pathway" xfId="8192" xr:uid="{9A9444A1-7739-4007-839A-EC7DBDCDB1AC}"/>
    <cellStyle name="O_%_2dp_Wiggins Island Model v3.0 081003_Future Trunk Assets - Ferry" xfId="8257" xr:uid="{613E37AB-37C1-463F-9EBC-08C4A903DDAC}"/>
    <cellStyle name="O_Date" xfId="2190" xr:uid="{C7428C15-694A-4689-ABF8-509B1DB35B67}"/>
    <cellStyle name="O_Date 2" xfId="6914" xr:uid="{6F49459B-82B2-4D37-A135-D31AF642C20D}"/>
    <cellStyle name="O_Date 2_Exist Trunk Assets - Ferry" xfId="9764" xr:uid="{66EEAC1F-A68E-4E51-B582-E0DFB721871D}"/>
    <cellStyle name="O_Date 2_Existing Trunk Assets - Pathway" xfId="8196" xr:uid="{C4C21C7E-C0E9-4781-9F06-8F23B79538D2}"/>
    <cellStyle name="O_Date 2_Future Trunk Assets - Ferry" xfId="8261" xr:uid="{11FAD269-7679-4D51-A7BB-A1CBB46B01C9}"/>
    <cellStyle name="O_Date 3" xfId="6915" xr:uid="{8106339C-47B9-4DE6-A2FE-17BB139F0F75}"/>
    <cellStyle name="O_Date 3_Exist Trunk Assets - Ferry" xfId="9765" xr:uid="{2F3947C7-C2CA-434E-9B69-A49193947884}"/>
    <cellStyle name="O_Date 3_Existing Trunk Assets - Pathway" xfId="8197" xr:uid="{C31F544A-5867-47EC-B342-3883373F8E80}"/>
    <cellStyle name="O_Date 3_Future Trunk Assets - Ferry" xfId="8262" xr:uid="{9295D5FC-65A5-45AE-9F6B-D68B8661B6BD}"/>
    <cellStyle name="O_Date_Exist Trunk Assets - Ferry" xfId="9763" xr:uid="{19EA66AC-415E-466C-ADDF-DB2CBCDF14D3}"/>
    <cellStyle name="O_Date_Existing Trunk Assets - Pathway" xfId="8195" xr:uid="{A9661867-EF54-4110-BBC5-9EEC79E4943F}"/>
    <cellStyle name="O_Date_Future Trunk Assets - Ferry" xfId="8260" xr:uid="{A41FAA6E-0C78-4C4F-8E8E-A67B59872BBE}"/>
    <cellStyle name="O_Date_Preliminary Results" xfId="2191" xr:uid="{09B5C3A4-9B78-47B4-B9EB-44B9A88E12DB}"/>
    <cellStyle name="O_Date_Preliminary Results 2" xfId="6916" xr:uid="{30CB86D5-AFE1-49E3-A562-1CEED2F37043}"/>
    <cellStyle name="O_Date_Preliminary Results 2_Exist Trunk Assets - Ferry" xfId="9767" xr:uid="{328724A7-5142-4938-897E-CB890E7462A1}"/>
    <cellStyle name="O_Date_Preliminary Results 2_Existing Trunk Assets - Pathway" xfId="8199" xr:uid="{13136880-FB57-470B-9AA5-E7F899A7702C}"/>
    <cellStyle name="O_Date_Preliminary Results 2_Future Trunk Assets - Ferry" xfId="8264" xr:uid="{E1E4012A-2DB8-44BC-A7EE-BB6E333901EB}"/>
    <cellStyle name="O_Date_Preliminary Results 3" xfId="6917" xr:uid="{CBC2CC15-7F61-4AD6-B83E-8D81997464D9}"/>
    <cellStyle name="O_Date_Preliminary Results 3_Exist Trunk Assets - Ferry" xfId="9768" xr:uid="{60EDB521-AFAB-47D4-A385-25CD53414E1D}"/>
    <cellStyle name="O_Date_Preliminary Results 3_Existing Trunk Assets - Pathway" xfId="8200" xr:uid="{23C830DC-4206-435C-8759-A1B1EF8B243F}"/>
    <cellStyle name="O_Date_Preliminary Results 3_Future Trunk Assets - Ferry" xfId="8265" xr:uid="{D86E5ACF-9C84-47D2-8803-5F07C0770387}"/>
    <cellStyle name="O_Date_Preliminary Results_Exist Trunk Assets - Ferry" xfId="9766" xr:uid="{D871EAC4-A6EA-44DD-8F69-302340AC333D}"/>
    <cellStyle name="O_Date_Preliminary Results_Existing Trunk Assets - Pathway" xfId="8198" xr:uid="{B70F4659-4DA3-4A6B-B770-7B7387828294}"/>
    <cellStyle name="O_Date_Preliminary Results_Future Trunk Assets - Ferry" xfId="8263" xr:uid="{0114F26B-17C1-4928-8C24-A6B96DB5A767}"/>
    <cellStyle name="O_Date_Wiggins Island Model v3.0 081003" xfId="2192" xr:uid="{36F354E3-5CE8-43CF-8A1A-8CBBB1BC2C2B}"/>
    <cellStyle name="O_Date_Wiggins Island Model v3.0 081003 2" xfId="6918" xr:uid="{759A8EC8-9404-49F9-B77B-387E364B6ABF}"/>
    <cellStyle name="O_Date_Wiggins Island Model v3.0 081003 2_Exist Trunk Assets - Ferry" xfId="9770" xr:uid="{6AD1FEB2-DFBA-4DF2-8D2E-75AE6BEDB391}"/>
    <cellStyle name="O_Date_Wiggins Island Model v3.0 081003 2_Existing Trunk Assets - Pathway" xfId="8202" xr:uid="{C8E19CCC-2B6F-4DE5-993D-6883167E582F}"/>
    <cellStyle name="O_Date_Wiggins Island Model v3.0 081003 2_Future Trunk Assets - Ferry" xfId="8267" xr:uid="{96B9A1BA-9C64-41E2-9CFC-3C7C9635488E}"/>
    <cellStyle name="O_Date_Wiggins Island Model v3.0 081003 3" xfId="6919" xr:uid="{EAE801F9-830F-4852-9E30-1A9DFFFB703F}"/>
    <cellStyle name="O_Date_Wiggins Island Model v3.0 081003 3_Exist Trunk Assets - Ferry" xfId="9771" xr:uid="{789139D9-074C-4629-AB92-9A493CB96BCB}"/>
    <cellStyle name="O_Date_Wiggins Island Model v3.0 081003 3_Existing Trunk Assets - Pathway" xfId="8203" xr:uid="{C9D6B527-21B7-4118-8B14-9F3CABDA3A7B}"/>
    <cellStyle name="O_Date_Wiggins Island Model v3.0 081003 3_Future Trunk Assets - Ferry" xfId="8268" xr:uid="{BDBFD305-F57A-4541-9FEE-3FABF0AE4ED6}"/>
    <cellStyle name="O_Date_Wiggins Island Model v3.0 081003_Exist Trunk Assets - Ferry" xfId="9769" xr:uid="{077EFB62-76E1-4EED-90E8-5683F497FC88}"/>
    <cellStyle name="O_Date_Wiggins Island Model v3.0 081003_Existing Trunk Assets - Pathway" xfId="8201" xr:uid="{A80130C2-F858-432F-AADA-C02F4C1D9FB9}"/>
    <cellStyle name="O_Date_Wiggins Island Model v3.0 081003_Future Trunk Assets - Ferry" xfId="8266" xr:uid="{4E701F5A-1994-4108-B6F2-B3377F9316C9}"/>
    <cellStyle name="O_Text" xfId="2193" xr:uid="{2D47BEC3-5FB8-43A3-8D85-095F25E61457}"/>
    <cellStyle name="O_Text 2" xfId="6920" xr:uid="{4FEDBA2E-118B-409A-92A1-4C3E8646A21B}"/>
    <cellStyle name="O_Text 2_Exist Trunk Assets - Ferry" xfId="9773" xr:uid="{BEDE0651-E689-4525-8282-1D36EB18FE66}"/>
    <cellStyle name="O_Text 2_Existing Trunk Assets - Pathway" xfId="8205" xr:uid="{26559FA1-0DD5-4820-B3EF-3D13404A3754}"/>
    <cellStyle name="O_Text 2_Future Trunk Assets - Ferry" xfId="8270" xr:uid="{6576707B-D575-4E1E-9A68-7E72EE56ADFC}"/>
    <cellStyle name="O_Text 3" xfId="6921" xr:uid="{89EFF76D-A984-4DE0-B13F-C30FFC106B35}"/>
    <cellStyle name="O_Text 3_Exist Trunk Assets - Ferry" xfId="9774" xr:uid="{C16EBE57-2FA2-475D-BF30-61A0260AF660}"/>
    <cellStyle name="O_Text 3_Existing Trunk Assets - Pathway" xfId="8206" xr:uid="{28FD73FF-D052-40E8-83DC-8732667D493B}"/>
    <cellStyle name="O_Text 3_Future Trunk Assets - Ferry" xfId="8271" xr:uid="{DFACE6EF-EA54-4A91-8FA1-490ECBEE3E73}"/>
    <cellStyle name="O_Text_Exist Trunk Assets - Ferry" xfId="9772" xr:uid="{95B85D3F-C375-49B5-BA27-127389D7002F}"/>
    <cellStyle name="O_Text_Existing Trunk Assets - Pathway" xfId="8204" xr:uid="{ACBF55FB-BC30-4794-ADA2-AC1D1F01F8CA}"/>
    <cellStyle name="O_Text_Future Trunk Assets - Ferry" xfId="8269" xr:uid="{362263A3-6A08-4719-870E-B558EAB1DE1A}"/>
    <cellStyle name="O_Text_Preliminary Results" xfId="2194" xr:uid="{0D6941F2-4535-40BA-A53A-F69DCE349E20}"/>
    <cellStyle name="O_Text_Preliminary Results 2" xfId="6922" xr:uid="{D2DFB0C3-AF54-4CDF-98F4-40D516EBD973}"/>
    <cellStyle name="O_Text_Preliminary Results 2_Exist Trunk Assets - Ferry" xfId="9776" xr:uid="{41B31AFE-E47E-4943-8AAD-F20A8148A81A}"/>
    <cellStyle name="O_Text_Preliminary Results 2_Existing Trunk Assets - Pathway" xfId="8208" xr:uid="{4EC2B7BB-4E12-4DB9-9C0B-7B2A92230C6C}"/>
    <cellStyle name="O_Text_Preliminary Results 2_Future Trunk Assets - Ferry" xfId="8273" xr:uid="{BB08768B-75A1-4D3F-A23B-702BDA16E56A}"/>
    <cellStyle name="O_Text_Preliminary Results 3" xfId="6923" xr:uid="{4FB2023F-7E74-49E1-B936-F6A0203FA8A3}"/>
    <cellStyle name="O_Text_Preliminary Results 3_Exist Trunk Assets - Ferry" xfId="9777" xr:uid="{53FB8FAD-D0EB-4CFA-AB46-ACBCE89A4045}"/>
    <cellStyle name="O_Text_Preliminary Results 3_Existing Trunk Assets - Pathway" xfId="8209" xr:uid="{9BE31912-F752-4B91-B710-5F9626CE0F67}"/>
    <cellStyle name="O_Text_Preliminary Results 3_Future Trunk Assets - Ferry" xfId="8274" xr:uid="{E9CCD9CC-A452-4A16-902D-D7B634599698}"/>
    <cellStyle name="O_Text_Preliminary Results_Exist Trunk Assets - Ferry" xfId="9775" xr:uid="{A925D517-E400-491A-BA71-70F45CBBCA29}"/>
    <cellStyle name="O_Text_Preliminary Results_Existing Trunk Assets - Pathway" xfId="8207" xr:uid="{3BA66DD2-A867-496E-BAD3-6CA27B39A5E8}"/>
    <cellStyle name="O_Text_Preliminary Results_Future Trunk Assets - Ferry" xfId="8272" xr:uid="{23A63F83-3149-450E-A6AA-8DDF8474D223}"/>
    <cellStyle name="O_Text_WICT Operating Cost 20080820" xfId="2195" xr:uid="{78123888-AA8E-47BD-8964-58197D8DE061}"/>
    <cellStyle name="O_Text_WICT Operating Cost 20080820 2" xfId="6924" xr:uid="{2DC771A6-1212-4D57-A11E-15BFF3E3D1B4}"/>
    <cellStyle name="O_Text_WICT Operating Cost 20080820 2_Exist Trunk Assets - Ferry" xfId="9779" xr:uid="{B6B77A6B-083C-4FF1-AEDD-FBF2FED336EC}"/>
    <cellStyle name="O_Text_WICT Operating Cost 20080820 2_Existing Trunk Assets - Pathway" xfId="8211" xr:uid="{EDE9FFEB-03AA-49B1-9506-9B3FA62CD08B}"/>
    <cellStyle name="O_Text_WICT Operating Cost 20080820 2_Future Trunk Assets - Ferry" xfId="8276" xr:uid="{C069E0C9-1884-4D68-B7AF-D4A04918BCB1}"/>
    <cellStyle name="O_Text_WICT Operating Cost 20080820 3" xfId="6925" xr:uid="{79AE7635-4D76-4F24-AA8A-4519D570FA1A}"/>
    <cellStyle name="O_Text_WICT Operating Cost 20080820 3_Exist Trunk Assets - Ferry" xfId="9780" xr:uid="{2413149B-CCDA-414A-A3F9-AAAAA4F3F831}"/>
    <cellStyle name="O_Text_WICT Operating Cost 20080820 3_Existing Trunk Assets - Pathway" xfId="8212" xr:uid="{693B924B-2DD5-46C7-9EE9-B36F8ED5F43A}"/>
    <cellStyle name="O_Text_WICT Operating Cost 20080820 3_Future Trunk Assets - Ferry" xfId="8277" xr:uid="{979F373D-1F05-4B54-BDFA-2C3BBAFFBCA0}"/>
    <cellStyle name="O_Text_WICT Operating Cost 20080820_Exist Trunk Assets - Ferry" xfId="9778" xr:uid="{A5C36BE0-6730-42F7-80EB-DB20F43C2181}"/>
    <cellStyle name="O_Text_WICT Operating Cost 20080820_Existing Trunk Assets - Pathway" xfId="8210" xr:uid="{83F9A7C9-454C-406B-BD4E-1477DBE1C829}"/>
    <cellStyle name="O_Text_WICT Operating Cost 20080820_Future Trunk Assets - Ferry" xfId="8275" xr:uid="{9F864A2F-DA23-4F87-9221-9AECAAD7C382}"/>
    <cellStyle name="O_Text_Wiggins Island Model v3.0 081003" xfId="2196" xr:uid="{B2327B20-F1D1-4413-8FA4-A7EC4863F0A5}"/>
    <cellStyle name="O_Text_Wiggins Island Model v3.0 081003 2" xfId="6926" xr:uid="{31B842A3-2A8A-45D9-BF9C-45B543F3621D}"/>
    <cellStyle name="O_Text_Wiggins Island Model v3.0 081003 2_Exist Trunk Assets - Ferry" xfId="9782" xr:uid="{F24BE720-B2F7-4675-B111-651F9BAF7253}"/>
    <cellStyle name="O_Text_Wiggins Island Model v3.0 081003 2_Existing Trunk Assets - Pathway" xfId="8214" xr:uid="{DDAE8D8B-571D-4D60-9091-ABC4C2E61A65}"/>
    <cellStyle name="O_Text_Wiggins Island Model v3.0 081003 2_Future Trunk Assets - Ferry" xfId="8279" xr:uid="{E69E7531-67E6-4EA9-8BC2-E615EA815FD7}"/>
    <cellStyle name="O_Text_Wiggins Island Model v3.0 081003 3" xfId="6927" xr:uid="{4107485E-E340-473F-B169-55569AD47E16}"/>
    <cellStyle name="O_Text_Wiggins Island Model v3.0 081003 3_Exist Trunk Assets - Ferry" xfId="9783" xr:uid="{9FEF588C-13F4-4D2B-B800-1797F29E3C05}"/>
    <cellStyle name="O_Text_Wiggins Island Model v3.0 081003 3_Existing Trunk Assets - Pathway" xfId="8215" xr:uid="{6D8F2572-55EA-435C-B175-9280E45AF1E9}"/>
    <cellStyle name="O_Text_Wiggins Island Model v3.0 081003 3_Future Trunk Assets - Ferry" xfId="8280" xr:uid="{57AF0703-2A82-4332-9B88-EA0537734670}"/>
    <cellStyle name="O_Text_Wiggins Island Model v3.0 081003_Exist Trunk Assets - Ferry" xfId="9781" xr:uid="{0608098B-988E-4A6E-BC7E-C3C1595CB182}"/>
    <cellStyle name="O_Text_Wiggins Island Model v3.0 081003_Existing Trunk Assets - Pathway" xfId="8213" xr:uid="{1A7A6DAD-4207-4F58-AEEB-6656FA870128}"/>
    <cellStyle name="O_Text_Wiggins Island Model v3.0 081003_Future Trunk Assets - Ferry" xfId="8278" xr:uid="{F51C9BBB-6F23-44C0-A6B5-52E96CCAB46F}"/>
    <cellStyle name="Output 10" xfId="1686" xr:uid="{03B00A38-4055-4A73-B84E-62BBA66A8557}"/>
    <cellStyle name="Output 10 2" xfId="6928" xr:uid="{151F8A24-6C5E-4E8F-B0B9-3B9B2044CAD6}"/>
    <cellStyle name="Output 10 3" xfId="6929" xr:uid="{4DA01EC9-88C6-4ACD-9A2A-7D8B01923D13}"/>
    <cellStyle name="Output 10_Exist Trunk Assets - Ferry" xfId="9784" xr:uid="{9481FD5C-4454-4351-9C8D-1FA8254FCB99}"/>
    <cellStyle name="Output 11" xfId="1687" xr:uid="{47F6D4F7-5AC8-4E38-8B4A-C11A3FC4AB14}"/>
    <cellStyle name="Output 11 2" xfId="6930" xr:uid="{5495B08D-2C8C-4703-B4A0-C9971CF69205}"/>
    <cellStyle name="Output 11 3" xfId="6931" xr:uid="{1D8BB21C-4EA6-4675-9507-0CC8A120AD7A}"/>
    <cellStyle name="Output 11_Exist Trunk Assets - Ferry" xfId="9785" xr:uid="{DEB88E98-B97D-4E67-BCBF-69B615058C5F}"/>
    <cellStyle name="Output 12" xfId="1688" xr:uid="{7E413229-6BC8-4C56-B30D-A4454DE1EEF1}"/>
    <cellStyle name="Output 12 2" xfId="6932" xr:uid="{7CDDDAB5-7A0A-4B45-A6E0-001BCF1ACD65}"/>
    <cellStyle name="Output 12 3" xfId="6933" xr:uid="{64B3BE8F-032F-46CD-8851-247CC87BD0EE}"/>
    <cellStyle name="Output 12_Exist Trunk Assets - Ferry" xfId="9786" xr:uid="{F822D8E4-23C5-4F49-AC92-2D15A6AA7923}"/>
    <cellStyle name="Output 13" xfId="1689" xr:uid="{6484012C-01D5-4DB9-975B-8AFB1BFA4E07}"/>
    <cellStyle name="Output 13 2" xfId="6934" xr:uid="{3D32A171-D206-47B3-97DA-E790F9828CFD}"/>
    <cellStyle name="Output 13 3" xfId="6935" xr:uid="{49C55B5D-0FF6-436D-8FC1-DEEB943178CB}"/>
    <cellStyle name="Output 13_Exist Trunk Assets - Ferry" xfId="9787" xr:uid="{853220D0-BAF5-4ED4-B901-AA30040AEF89}"/>
    <cellStyle name="Output 14" xfId="1690" xr:uid="{8DFADB7C-BB80-4A10-8B59-E90CA8C987C5}"/>
    <cellStyle name="Output 14 2" xfId="6936" xr:uid="{1AD8E0FF-2814-459A-91D0-C050BE1AABA7}"/>
    <cellStyle name="Output 14 3" xfId="6937" xr:uid="{0734AB14-FB2C-4CF5-A4F5-74578E0CFACA}"/>
    <cellStyle name="Output 14_Exist Trunk Assets - Ferry" xfId="9788" xr:uid="{82A88C75-8C67-492C-841A-2492C8FB2759}"/>
    <cellStyle name="Output 15" xfId="1691" xr:uid="{BBDFC39D-8EA2-42E4-A822-C21423A6B8AC}"/>
    <cellStyle name="Output 15 2" xfId="6938" xr:uid="{6F8E4AD3-E635-4B6D-BF79-0A9EE1C792DF}"/>
    <cellStyle name="Output 15 3" xfId="6939" xr:uid="{75912055-98D1-432B-8A68-F722AE8D0657}"/>
    <cellStyle name="Output 15_Exist Trunk Assets - Ferry" xfId="9789" xr:uid="{3E5D2F66-7A88-4C9E-AD79-A996ECF4A12C}"/>
    <cellStyle name="Output 16" xfId="1692" xr:uid="{67B304DD-3F0F-40AA-AA47-78302CF3B696}"/>
    <cellStyle name="Output 16 2" xfId="6940" xr:uid="{6C78E454-E269-418E-BE72-D6624310E20F}"/>
    <cellStyle name="Output 16 3" xfId="6941" xr:uid="{5808289D-25D6-4CF0-B460-1CFC153EF91A}"/>
    <cellStyle name="Output 16_Exist Trunk Assets - Ferry" xfId="9790" xr:uid="{80AF38F2-DDC3-4AB7-A0D7-822EF9CC88DF}"/>
    <cellStyle name="Output 17" xfId="1693" xr:uid="{4E7D7F00-CE9B-4AD8-A997-184E1B96F9AA}"/>
    <cellStyle name="Output 17 2" xfId="6942" xr:uid="{9A7B5D2F-E1B3-4405-8F3B-225C1A217B69}"/>
    <cellStyle name="Output 17 3" xfId="6943" xr:uid="{DECCAA31-9D86-4046-BF08-6D579A81C46D}"/>
    <cellStyle name="Output 17_Exist Trunk Assets - Ferry" xfId="9791" xr:uid="{84A598AD-2BBF-4A63-8F1B-31AFB5C5219C}"/>
    <cellStyle name="Output 18" xfId="1694" xr:uid="{F53D867F-27A8-46B1-B2F1-299B477FF91D}"/>
    <cellStyle name="Output 18 2" xfId="6944" xr:uid="{68E15304-471C-44AD-813C-C4DACFB93BCE}"/>
    <cellStyle name="Output 18 3" xfId="6945" xr:uid="{1E6CCF14-CEDF-44FC-AE95-ECA2A9B2C751}"/>
    <cellStyle name="Output 18_Exist Trunk Assets - Ferry" xfId="9792" xr:uid="{C2AA7805-6C52-4C2F-9837-E7CB63CC56CF}"/>
    <cellStyle name="Output 19" xfId="1695" xr:uid="{37E2911B-82AE-4CE1-968D-E89E46D4C04E}"/>
    <cellStyle name="Output 19 2" xfId="6946" xr:uid="{D2705419-019C-404D-8A4C-19A974D664F2}"/>
    <cellStyle name="Output 19 3" xfId="6947" xr:uid="{1A5EC6E0-A941-4443-B2E1-18ED275AAF5F}"/>
    <cellStyle name="Output 19_Exist Trunk Assets - Ferry" xfId="9793" xr:uid="{45CA81F0-5CEE-4182-BC3E-0ACAEEFBAED8}"/>
    <cellStyle name="Output 2" xfId="1696" xr:uid="{8084CE68-B88C-4718-94D2-46D428567A7B}"/>
    <cellStyle name="Output 2 2" xfId="6948" xr:uid="{510FE102-1AD6-4EE4-A88F-CC8B54B51216}"/>
    <cellStyle name="Output 2 3" xfId="6949" xr:uid="{CB75734F-AD39-488F-B09E-1B108171E8F0}"/>
    <cellStyle name="Output 2_Exist Trunk Assets - Ferry" xfId="9794" xr:uid="{7AE76A0A-B343-458D-AB5A-F2B436D3A61A}"/>
    <cellStyle name="Output 20" xfId="1697" xr:uid="{6242234B-03A6-4AA3-8636-1BE415B3CAB3}"/>
    <cellStyle name="Output 20 2" xfId="6950" xr:uid="{313D1646-43BD-4511-93F1-B7BFD68561F4}"/>
    <cellStyle name="Output 20 3" xfId="6951" xr:uid="{F996C534-5525-44EA-9BF3-1421B4299EF7}"/>
    <cellStyle name="Output 20_Exist Trunk Assets - Ferry" xfId="9795" xr:uid="{81BE669E-C10C-4D9B-BAFF-A1A77C88F641}"/>
    <cellStyle name="Output 21" xfId="1698" xr:uid="{5EF02DC9-B699-415C-BE47-81C9FCCA8DCD}"/>
    <cellStyle name="Output 21 2" xfId="6952" xr:uid="{A734FA79-3F44-47C0-BE02-24D0D8ABCEAD}"/>
    <cellStyle name="Output 21 3" xfId="6953" xr:uid="{DFB0D08B-8521-4933-AD27-58296010AFD2}"/>
    <cellStyle name="Output 21_Exist Trunk Assets - Ferry" xfId="9796" xr:uid="{6A5F9303-22BB-40B2-96B0-18376126B066}"/>
    <cellStyle name="Output 22" xfId="1699" xr:uid="{CFB80EE6-CE5D-40F7-B2D7-9F72FE4C6EE5}"/>
    <cellStyle name="Output 22 2" xfId="6954" xr:uid="{019304C9-3B03-47F6-B9E0-FCAE274C53E5}"/>
    <cellStyle name="Output 22 3" xfId="6955" xr:uid="{C8075106-8EB9-4297-887B-888B7458312E}"/>
    <cellStyle name="Output 22_Exist Trunk Assets - Ferry" xfId="9797" xr:uid="{7C194422-05C6-4115-B123-E7122D7EFF9A}"/>
    <cellStyle name="Output 23" xfId="1700" xr:uid="{DDEFE5FD-4A8C-4A52-9655-FD9279590CCE}"/>
    <cellStyle name="Output 23 2" xfId="6956" xr:uid="{B774ECA1-C560-4E7D-AE43-FAC0B8328AB8}"/>
    <cellStyle name="Output 23 3" xfId="6957" xr:uid="{5788C67A-86CD-4E5E-A709-A7A07D5E62D3}"/>
    <cellStyle name="Output 23_Exist Trunk Assets - Ferry" xfId="9798" xr:uid="{7AF762F8-1C62-4B56-B0E1-6DF0F563EB19}"/>
    <cellStyle name="Output 24" xfId="1701" xr:uid="{8A8AAE35-F340-421D-AB6C-66C39619B083}"/>
    <cellStyle name="Output 24 2" xfId="6958" xr:uid="{03150351-143F-497A-A2E6-F1CAAD31E9BD}"/>
    <cellStyle name="Output 24 3" xfId="6959" xr:uid="{570DC742-F9CB-44AB-BDEE-81762AC6F321}"/>
    <cellStyle name="Output 24_Exist Trunk Assets - Ferry" xfId="9799" xr:uid="{680400D5-4EB3-4C8E-9561-1A4D5CBE3021}"/>
    <cellStyle name="Output 25" xfId="1702" xr:uid="{05BE7E02-24F9-4B4A-A691-178688CA7858}"/>
    <cellStyle name="Output 25 2" xfId="6960" xr:uid="{D8F325E7-D36A-4970-B38F-C201E53B1C04}"/>
    <cellStyle name="Output 25 3" xfId="6961" xr:uid="{B5318ED8-EB19-4195-88D0-E46B5A720B55}"/>
    <cellStyle name="Output 25_Exist Trunk Assets - Ferry" xfId="9800" xr:uid="{F7C51110-1DEE-4FC7-BDBB-EEFD9946819F}"/>
    <cellStyle name="Output 26" xfId="1703" xr:uid="{98FA1747-5AE0-4B28-A178-4C3361126FC5}"/>
    <cellStyle name="Output 26 2" xfId="6962" xr:uid="{17523664-2D67-4457-99AD-F3410488DD8B}"/>
    <cellStyle name="Output 26 3" xfId="6963" xr:uid="{053A4577-2A4A-4F06-B56A-EB93244046B3}"/>
    <cellStyle name="Output 26_Exist Trunk Assets - Ferry" xfId="9801" xr:uid="{0C6A5A2C-CD2F-4964-AC80-2BDCBA5EF4C3}"/>
    <cellStyle name="Output 27" xfId="1704" xr:uid="{828123B9-3804-492E-98DE-78DC4A899818}"/>
    <cellStyle name="Output 27 2" xfId="6964" xr:uid="{77656841-2024-4ADF-8E17-0539B5E0BAF3}"/>
    <cellStyle name="Output 27 3" xfId="6965" xr:uid="{8CF1DAA9-79F0-4E00-A206-85CC902E41DC}"/>
    <cellStyle name="Output 27_Exist Trunk Assets - Ferry" xfId="9802" xr:uid="{8ACF5673-D1A0-4C40-BC2E-F174077015F0}"/>
    <cellStyle name="Output 28" xfId="1705" xr:uid="{4CBE517A-F708-4C3F-A06E-5FE86A6F1109}"/>
    <cellStyle name="Output 28 2" xfId="6966" xr:uid="{EE0C3457-A91D-4AC2-90E2-9F2CDB7863BF}"/>
    <cellStyle name="Output 28 3" xfId="6967" xr:uid="{8149AC2C-42E0-4D02-BB60-1380D35E1E17}"/>
    <cellStyle name="Output 28_Exist Trunk Assets - Ferry" xfId="9803" xr:uid="{C1D6308D-5F99-4EA4-80D1-19BA66717C09}"/>
    <cellStyle name="Output 29" xfId="1706" xr:uid="{B8BFCF18-3C57-4C90-B929-2DBCC19777B3}"/>
    <cellStyle name="Output 29 2" xfId="6968" xr:uid="{DB929450-2A32-4567-82EA-EE3F3E80C4C6}"/>
    <cellStyle name="Output 29 3" xfId="6969" xr:uid="{AA175286-5845-4F1B-AB9E-5BED7630BE99}"/>
    <cellStyle name="Output 29_Exist Trunk Assets - Ferry" xfId="9804" xr:uid="{08D97C0E-8DA1-43C9-A623-66E5B012053D}"/>
    <cellStyle name="Output 3" xfId="1707" xr:uid="{C0C65F21-EF2F-4EEC-A609-EC8D186D1ADA}"/>
    <cellStyle name="Output 3 2" xfId="6970" xr:uid="{60FFF30B-56A2-4EB1-8D4D-05754B87182A}"/>
    <cellStyle name="Output 3 3" xfId="6971" xr:uid="{8919763A-C039-4FC0-8CF3-80D797BA242E}"/>
    <cellStyle name="Output 3_Exist Trunk Assets - Ferry" xfId="9805" xr:uid="{19BEF006-4BA3-4583-BC9D-30663BF0D085}"/>
    <cellStyle name="Output 30" xfId="1708" xr:uid="{0FD64093-692B-4650-B3A1-9945461D14AD}"/>
    <cellStyle name="Output 30 2" xfId="6972" xr:uid="{9B05C247-C57E-4753-8034-97F41CAAEF21}"/>
    <cellStyle name="Output 30 3" xfId="6973" xr:uid="{5B3226C6-63E7-440C-85AF-EE2D29FDA87B}"/>
    <cellStyle name="Output 30_Exist Trunk Assets - Ferry" xfId="9806" xr:uid="{549CEFCD-B716-45AB-8C7A-CE5DF7D212FE}"/>
    <cellStyle name="Output 31" xfId="1709" xr:uid="{00137A42-9DE5-409E-A7A6-DADD12FC04C1}"/>
    <cellStyle name="Output 31 2" xfId="6974" xr:uid="{402015AF-8DCA-45AF-BA63-168F8E1F6997}"/>
    <cellStyle name="Output 31 3" xfId="6975" xr:uid="{DD55B36C-5088-4B52-A70E-608D2BBA5A4D}"/>
    <cellStyle name="Output 31_Exist Trunk Assets - Ferry" xfId="9807" xr:uid="{FCAB8C0D-3262-4D81-AD0D-8D131E551F60}"/>
    <cellStyle name="Output 32" xfId="1710" xr:uid="{F09935A8-B1BC-4BEF-89DB-6E84C9CD666E}"/>
    <cellStyle name="Output 32 2" xfId="6976" xr:uid="{537E0090-2F8A-4835-8576-25D729F1A1B1}"/>
    <cellStyle name="Output 32 3" xfId="6977" xr:uid="{97A07AB4-ACCF-455F-A57D-52E075A5C527}"/>
    <cellStyle name="Output 32_Exist Trunk Assets - Ferry" xfId="9808" xr:uid="{844A3C45-E7AA-4AA4-8261-85EA0B7190B1}"/>
    <cellStyle name="Output 33" xfId="1711" xr:uid="{34E2D148-619D-431A-B7AF-9323704C93DE}"/>
    <cellStyle name="Output 33 2" xfId="6978" xr:uid="{EDBBFF40-B152-4912-AC30-5D1181E6A9BF}"/>
    <cellStyle name="Output 33 3" xfId="6979" xr:uid="{336C00B1-F9FE-47D0-B8B8-C2C6CAFB7172}"/>
    <cellStyle name="Output 33_Exist Trunk Assets - Ferry" xfId="9809" xr:uid="{68974C56-9AEE-4759-A468-F3B3831D0147}"/>
    <cellStyle name="Output 34" xfId="1712" xr:uid="{CF8408BF-6744-4A85-BE37-B1A50854C1B6}"/>
    <cellStyle name="Output 34 2" xfId="6980" xr:uid="{47AB293B-B222-42DC-840E-2F5191094E1D}"/>
    <cellStyle name="Output 34 3" xfId="6981" xr:uid="{EAB760F6-65CB-479D-848F-0621EC230CEA}"/>
    <cellStyle name="Output 34_Exist Trunk Assets - Ferry" xfId="9810" xr:uid="{1A7288DC-39BD-4869-AEE2-3AC4665F7260}"/>
    <cellStyle name="Output 35" xfId="1713" xr:uid="{3E09F5D9-040D-4DAE-B764-53BBF3484FD0}"/>
    <cellStyle name="Output 35 2" xfId="6982" xr:uid="{C50F7B59-D5A1-4A20-B8EC-9675A11B5A30}"/>
    <cellStyle name="Output 35 3" xfId="6983" xr:uid="{00F96846-A3D2-4E7B-9CBA-0E55B55949F5}"/>
    <cellStyle name="Output 35_Exist Trunk Assets - Ferry" xfId="9811" xr:uid="{3753A887-3DD7-48CC-8AC4-B19347600DEC}"/>
    <cellStyle name="Output 36" xfId="1714" xr:uid="{BCD55C15-259D-45DF-B898-8A9203CF2A48}"/>
    <cellStyle name="Output 36 2" xfId="6984" xr:uid="{B61ECB52-5CBE-4057-A10F-3DDBF3C2919B}"/>
    <cellStyle name="Output 36 3" xfId="6985" xr:uid="{A17C11E5-66ED-45D8-BF29-154FD993DE8B}"/>
    <cellStyle name="Output 36_Exist Trunk Assets - Ferry" xfId="9812" xr:uid="{5132AAD5-D617-49EF-94FD-314E56DC78F1}"/>
    <cellStyle name="Output 37" xfId="1715" xr:uid="{BBDB9CCE-A8CD-4B75-9288-D8216BB89DA0}"/>
    <cellStyle name="Output 37 2" xfId="6986" xr:uid="{4C49B286-E4C5-47E2-9489-70A644569537}"/>
    <cellStyle name="Output 37 3" xfId="6987" xr:uid="{6C12621B-65E3-4A1C-95CC-130F2AFA1349}"/>
    <cellStyle name="Output 37_Exist Trunk Assets - Ferry" xfId="9813" xr:uid="{2BAB149F-0917-465B-A520-EB4D7978DF9B}"/>
    <cellStyle name="Output 4" xfId="1716" xr:uid="{9B0D6D82-E8E6-4A46-BDB8-96E496C0EC01}"/>
    <cellStyle name="Output 4 2" xfId="6988" xr:uid="{BEB60262-8C65-4AF6-8264-889F5173C7A0}"/>
    <cellStyle name="Output 4 3" xfId="6989" xr:uid="{FDBCFAB3-B268-4180-A73B-B8EAB6649B90}"/>
    <cellStyle name="Output 4_Exist Trunk Assets - Ferry" xfId="9814" xr:uid="{4C37FC72-AF82-4CE4-97E5-3808AC8B212C}"/>
    <cellStyle name="Output 5" xfId="1717" xr:uid="{3701F023-945E-40C4-9B16-516A369833CA}"/>
    <cellStyle name="Output 5 2" xfId="6990" xr:uid="{C0C99469-2930-4461-A06E-756710027F66}"/>
    <cellStyle name="Output 5 3" xfId="6991" xr:uid="{BCEA9C70-355C-47B6-B569-DA91D456A1A9}"/>
    <cellStyle name="Output 5_Exist Trunk Assets - Ferry" xfId="9815" xr:uid="{503A1BCA-0C9A-4DBE-9ABC-537EF1FB758E}"/>
    <cellStyle name="Output 6" xfId="1718" xr:uid="{28EFD9D5-722F-4317-B3B1-FC94E1DA2F5F}"/>
    <cellStyle name="Output 6 2" xfId="6992" xr:uid="{EB0F879E-959E-4C37-8EB7-EB57AEEE20BB}"/>
    <cellStyle name="Output 6 3" xfId="6993" xr:uid="{A1833650-E86E-4517-B3B8-BE13ABC88F4C}"/>
    <cellStyle name="Output 6_Exist Trunk Assets - Ferry" xfId="9816" xr:uid="{AE2965B0-5D99-42E6-BCE7-1559F5CEEA3A}"/>
    <cellStyle name="Output 7" xfId="1719" xr:uid="{368502FB-F37C-4695-ADBD-8AA1549BCF97}"/>
    <cellStyle name="Output 7 2" xfId="6994" xr:uid="{54991C0B-0901-4696-B416-FEA495960D87}"/>
    <cellStyle name="Output 7 3" xfId="6995" xr:uid="{5FA6EBF0-10C1-4ABB-B700-A7D5AEC60227}"/>
    <cellStyle name="Output 7_Exist Trunk Assets - Ferry" xfId="9817" xr:uid="{CEB791C2-81EC-4BC4-B038-AF8C5504E4DC}"/>
    <cellStyle name="Output 8" xfId="1720" xr:uid="{461C9367-DF3E-4A66-8A91-647855CE0BE1}"/>
    <cellStyle name="Output 8 2" xfId="6996" xr:uid="{A8145BC7-B757-4892-B61F-A84EBF78E636}"/>
    <cellStyle name="Output 8 3" xfId="6997" xr:uid="{237D213B-A3DC-4BD9-ABDC-C818A3606CA9}"/>
    <cellStyle name="Output 8_Exist Trunk Assets - Ferry" xfId="9818" xr:uid="{AB2E4BE2-D8FE-4097-809D-D2831663D734}"/>
    <cellStyle name="Output 9" xfId="1721" xr:uid="{52954E71-DF12-4D2C-891D-67F8B9178C16}"/>
    <cellStyle name="Output 9 2" xfId="6998" xr:uid="{4E104DC6-4E55-412D-A936-2167A402DCEA}"/>
    <cellStyle name="Output 9 3" xfId="6999" xr:uid="{5935DED4-B042-438D-859A-38DEEE22D7B1}"/>
    <cellStyle name="Output 9_Exist Trunk Assets - Ferry" xfId="9819" xr:uid="{241CA662-1262-4446-84FA-A4B072792551}"/>
    <cellStyle name="P/N" xfId="2197" xr:uid="{0D7D4884-0D30-47AC-B6AE-F7958198F71E}"/>
    <cellStyle name="P/N 2" xfId="7000" xr:uid="{A15E0150-A41F-41A2-AB00-E16214773C86}"/>
    <cellStyle name="P/N 3" xfId="7001" xr:uid="{2C0C8525-C7D6-47AA-8047-32B922287934}"/>
    <cellStyle name="P/N_Exist Trunk Assets - Ferry" xfId="9820" xr:uid="{C7EF3855-FEA8-4BD8-9130-32ACBD769750}"/>
    <cellStyle name="Percent" xfId="2" builtinId="5"/>
    <cellStyle name="Percent [0]" xfId="2198" xr:uid="{B3DCEE44-76BA-4B42-BD31-4C963BA80006}"/>
    <cellStyle name="Percent [0] 10" xfId="2199" xr:uid="{F5F2F362-D2F7-4EDB-9C79-34D3373EFAF4}"/>
    <cellStyle name="Percent [0] 10 2" xfId="7002" xr:uid="{A6A029E7-6989-4F71-BFBD-5147A9357494}"/>
    <cellStyle name="Percent [0] 10 3" xfId="7003" xr:uid="{44E752EE-E46C-4158-B58F-1E0A8CD328B8}"/>
    <cellStyle name="Percent [0] 10_Exist Trunk Assets - Ferry" xfId="9822" xr:uid="{B5AEF5CA-28AA-44A3-BE6C-8FCBCA76D097}"/>
    <cellStyle name="Percent [0] 11" xfId="2200" xr:uid="{10D66FB2-0BD1-45F5-AD1E-14F5DF9C89AD}"/>
    <cellStyle name="Percent [0] 11 2" xfId="7004" xr:uid="{CE707274-CCAD-4AEC-80B4-E67FC376D35A}"/>
    <cellStyle name="Percent [0] 11 3" xfId="7005" xr:uid="{8A58A13B-533F-4E66-A6DB-1EE3F8376224}"/>
    <cellStyle name="Percent [0] 11_Exist Trunk Assets - Ferry" xfId="9823" xr:uid="{1F5C319A-5147-45A7-B5A1-EEDB99E22729}"/>
    <cellStyle name="Percent [0] 12" xfId="7006" xr:uid="{66299E3C-263A-4D3B-A15D-ABF34A7D55F3}"/>
    <cellStyle name="Percent [0] 13" xfId="7007" xr:uid="{CA3CD450-3148-412F-BB64-A5CCBCF348D7}"/>
    <cellStyle name="Percent [0] 2" xfId="2201" xr:uid="{4298821F-7C7C-4E58-A869-5DBC0C4EF96D}"/>
    <cellStyle name="Percent [0] 2 2" xfId="2515" xr:uid="{89CB73D4-833E-4721-BFDE-EE312A6C4C10}"/>
    <cellStyle name="Percent [0] 2 2 2" xfId="7008" xr:uid="{3F5B982E-6911-42A4-93EF-D0CFE3D8B3CC}"/>
    <cellStyle name="Percent [0] 2 2 3" xfId="7009" xr:uid="{923326BC-2C1A-42CC-A67C-1A62CAE2ED65}"/>
    <cellStyle name="Percent [0] 2 2_Exist Trunk Assets - Ferry" xfId="9825" xr:uid="{2FD0BB1C-93D6-42B3-B4F1-91F2E8C3209F}"/>
    <cellStyle name="Percent [0] 2 3" xfId="7010" xr:uid="{22B3A0E4-F75D-4DE4-BE6D-2B2F73BA21D8}"/>
    <cellStyle name="Percent [0] 2 4" xfId="7011" xr:uid="{180EB84E-5C45-4474-960E-95FA6C2A5F12}"/>
    <cellStyle name="Percent [0] 2_Exist Trunk Assets - Ferry" xfId="9824" xr:uid="{B0BF41E0-A591-41C7-967C-613472F21AFC}"/>
    <cellStyle name="Percent [0] 3" xfId="2202" xr:uid="{0FA8FD7D-29BC-4B42-A7C4-B64ABD7F642C}"/>
    <cellStyle name="Percent [0] 3 2" xfId="2516" xr:uid="{84C85841-4BA0-4E58-A56A-EAB769388C59}"/>
    <cellStyle name="Percent [0] 3 2 2" xfId="7012" xr:uid="{D7935CF9-2FAC-44E3-A018-51F1E5952796}"/>
    <cellStyle name="Percent [0] 3 2 3" xfId="7013" xr:uid="{7309C0C0-8F9A-4D58-A707-1A0006A8DE8A}"/>
    <cellStyle name="Percent [0] 3 2_Exist Trunk Assets - Ferry" xfId="9827" xr:uid="{E0B190CA-A9DE-4A1A-84C3-8269ADF6C380}"/>
    <cellStyle name="Percent [0] 3 3" xfId="7014" xr:uid="{D7AAC031-E4E7-4651-B350-3385ED38A08B}"/>
    <cellStyle name="Percent [0] 3 4" xfId="7015" xr:uid="{56AFD568-ECF8-4A23-BEE4-9145C17F7BE5}"/>
    <cellStyle name="Percent [0] 3_Exist Trunk Assets - Ferry" xfId="9826" xr:uid="{5742FE4C-59FD-449B-A718-AF06F0223986}"/>
    <cellStyle name="Percent [0] 4" xfId="2203" xr:uid="{49E2E443-98D3-406A-B4F8-127A68630424}"/>
    <cellStyle name="Percent [0] 4 2" xfId="2517" xr:uid="{642D08AD-31CD-4AEB-AC94-0607E93B5996}"/>
    <cellStyle name="Percent [0] 4 2 2" xfId="7016" xr:uid="{16FD37B0-638A-4E52-BBF5-7A488B443B6E}"/>
    <cellStyle name="Percent [0] 4 2 3" xfId="7017" xr:uid="{86AD43CD-8E05-4EF0-A0DE-6C84E598CB7E}"/>
    <cellStyle name="Percent [0] 4 2_Exist Trunk Assets - Ferry" xfId="9829" xr:uid="{BC3E9059-D0E0-4170-A13F-5767F87640F2}"/>
    <cellStyle name="Percent [0] 4 3" xfId="7018" xr:uid="{5665092B-0C72-4E08-BDEB-95AE1F9F0941}"/>
    <cellStyle name="Percent [0] 4 4" xfId="7019" xr:uid="{A31178B6-6567-4D18-B2C6-410EB38CA142}"/>
    <cellStyle name="Percent [0] 4_Exist Trunk Assets - Ferry" xfId="9828" xr:uid="{107E7C33-7A3C-4278-8A53-58E438A64007}"/>
    <cellStyle name="Percent [0] 5" xfId="2204" xr:uid="{6BF11CDA-7D16-47E9-B562-2F487D32B940}"/>
    <cellStyle name="Percent [0] 5 2" xfId="2518" xr:uid="{1F646D8F-ED08-40D7-A0B5-01A2CA1F472F}"/>
    <cellStyle name="Percent [0] 5 2 2" xfId="7020" xr:uid="{C89BDBF7-DD02-4839-A6C9-D842C093A0C2}"/>
    <cellStyle name="Percent [0] 5 2 3" xfId="7021" xr:uid="{859D9F8A-A964-4E13-8739-4B5C28C0BCB9}"/>
    <cellStyle name="Percent [0] 5 2_Exist Trunk Assets - Ferry" xfId="9831" xr:uid="{9FB8C547-39A5-4A13-8D61-43E8EA4263EE}"/>
    <cellStyle name="Percent [0] 5 3" xfId="7022" xr:uid="{FC801053-A46D-4059-B1C9-9F0FA993F425}"/>
    <cellStyle name="Percent [0] 5 4" xfId="7023" xr:uid="{D785E620-B331-4D8A-98D4-4D102DC033CB}"/>
    <cellStyle name="Percent [0] 5_Exist Trunk Assets - Ferry" xfId="9830" xr:uid="{FD015C9A-1E00-4338-9796-F3586D14B8C6}"/>
    <cellStyle name="Percent [0] 6" xfId="2205" xr:uid="{9ACC9AA9-1791-4B07-9439-C77C07E569FB}"/>
    <cellStyle name="Percent [0] 6 2" xfId="7024" xr:uid="{A4B6672D-F9DD-4B57-AE65-615618D52FE3}"/>
    <cellStyle name="Percent [0] 6 3" xfId="7025" xr:uid="{2BE0EC60-8BEC-4A52-8E8E-9384E8077969}"/>
    <cellStyle name="Percent [0] 6_Exist Trunk Assets - Ferry" xfId="9832" xr:uid="{0510DC0E-0C59-44BA-9C6A-1B85DCDE43BA}"/>
    <cellStyle name="Percent [0] 7" xfId="2206" xr:uid="{8B4BA0FC-0269-4220-A3B0-DC0D3AC69B7A}"/>
    <cellStyle name="Percent [0] 7 2" xfId="7026" xr:uid="{35F2A573-6933-49E4-8319-E076D4CEE4C0}"/>
    <cellStyle name="Percent [0] 7 3" xfId="7027" xr:uid="{937EBF3C-BE84-42F6-80DB-B3F34C9D238A}"/>
    <cellStyle name="Percent [0] 7_Exist Trunk Assets - Ferry" xfId="9833" xr:uid="{4161BB47-9AE4-465F-863D-BC512E63CF66}"/>
    <cellStyle name="Percent [0] 8" xfId="2207" xr:uid="{B4FCBD10-200C-4631-842A-5F397C8A3CEF}"/>
    <cellStyle name="Percent [0] 8 2" xfId="7028" xr:uid="{0214D205-59F2-460A-80A0-23733FB6DB40}"/>
    <cellStyle name="Percent [0] 8 3" xfId="7029" xr:uid="{DA8FA18E-E278-4EA4-A428-7F9B11B38AD6}"/>
    <cellStyle name="Percent [0] 8_Exist Trunk Assets - Ferry" xfId="9834" xr:uid="{C3BFE46D-BF74-49A5-9770-FD8B008B1D4B}"/>
    <cellStyle name="Percent [0] 9" xfId="2208" xr:uid="{3909157F-FA39-4BF2-A5BC-CDEC41EEEF35}"/>
    <cellStyle name="Percent [0] 9 2" xfId="7030" xr:uid="{8EFFD8B1-4807-49FB-A370-5D50433FDFF6}"/>
    <cellStyle name="Percent [0] 9 3" xfId="7031" xr:uid="{83555C2F-2446-4E85-8FD5-277F1C039B5B}"/>
    <cellStyle name="Percent [0] 9_Exist Trunk Assets - Ferry" xfId="9835" xr:uid="{98643A20-BFDC-4DC8-B50F-60A9AA0E63A4}"/>
    <cellStyle name="Percent [0]_Exist Trunk Assets - Ferry" xfId="9821" xr:uid="{E1114426-E2DA-44D3-9B7E-E37FBE91849F}"/>
    <cellStyle name="Percent [00]" xfId="2209" xr:uid="{F4ECA6BE-C51C-4C66-AEF1-1893712D0351}"/>
    <cellStyle name="Percent [00] 2" xfId="2210" xr:uid="{39D8C581-ADB4-4A6B-BF5B-52195AB12820}"/>
    <cellStyle name="Percent [00] 2 2" xfId="7032" xr:uid="{56FE1EE7-C379-45C6-9E1C-0C30B2E2E659}"/>
    <cellStyle name="Percent [00] 2 3" xfId="7033" xr:uid="{B94AD376-1DB1-42C9-A31B-EDC73EF06B22}"/>
    <cellStyle name="Percent [00] 2_Exist Trunk Assets - Ferry" xfId="9837" xr:uid="{AC6CAF82-AFBF-4397-8478-676AA028067C}"/>
    <cellStyle name="Percent [00] 3" xfId="2211" xr:uid="{BD98DD00-A8AD-40F7-A4EC-C5EDEACF84A9}"/>
    <cellStyle name="Percent [00] 3 2" xfId="7034" xr:uid="{B9F8112F-DCEB-45D7-B2F5-0496EA19E341}"/>
    <cellStyle name="Percent [00] 3 3" xfId="7035" xr:uid="{5341F2F1-BBCB-4DFB-A6DF-32B1DCB36C23}"/>
    <cellStyle name="Percent [00] 3_Exist Trunk Assets - Ferry" xfId="9838" xr:uid="{7E7B04BF-BFC2-4760-B004-B49E2B44CD99}"/>
    <cellStyle name="Percent [00] 4" xfId="2212" xr:uid="{B24135C6-1D23-45B0-9859-EFD10D52A2DA}"/>
    <cellStyle name="Percent [00] 4 2" xfId="7036" xr:uid="{BDD4D599-5047-42AC-B1E5-B34DEDCCD32D}"/>
    <cellStyle name="Percent [00] 4 3" xfId="7037" xr:uid="{CC8AFC76-B2AF-4E8D-BF6D-2B582A051DF4}"/>
    <cellStyle name="Percent [00] 4_Exist Trunk Assets - Ferry" xfId="9839" xr:uid="{285DA3CC-43EB-40F6-9CDA-CE74C71F980B}"/>
    <cellStyle name="Percent [00] 5" xfId="2213" xr:uid="{741FFEE6-B50C-4E25-A8DE-9ED79734BC06}"/>
    <cellStyle name="Percent [00] 5 2" xfId="7038" xr:uid="{5D9D7B28-632A-489D-8738-D9918A567150}"/>
    <cellStyle name="Percent [00] 5 3" xfId="7039" xr:uid="{8BAB54D3-8B48-4407-A555-F8E6254C985F}"/>
    <cellStyle name="Percent [00] 5_Exist Trunk Assets - Ferry" xfId="9840" xr:uid="{DF64E15B-F3CD-43A6-83B1-C8DBC67B39CE}"/>
    <cellStyle name="Percent [00] 6" xfId="2519" xr:uid="{D81FF2C0-2707-430D-8C06-42BA660CEA09}"/>
    <cellStyle name="Percent [00] 6 2" xfId="7040" xr:uid="{88ECA102-8EF9-4F52-AA5C-E2B106E099CB}"/>
    <cellStyle name="Percent [00] 6 3" xfId="7041" xr:uid="{C472EEA6-F977-423D-83DB-17615AB6B106}"/>
    <cellStyle name="Percent [00] 6_Exist Trunk Assets - Ferry" xfId="9841" xr:uid="{0E1089BE-74FA-41D6-94FA-50DFDF36552D}"/>
    <cellStyle name="Percent [00] 7" xfId="7042" xr:uid="{CBE5EC83-2ACA-4325-8C10-77347A139A3E}"/>
    <cellStyle name="Percent [00] 8" xfId="7043" xr:uid="{9C522DAD-9608-4C11-83B8-FBB29BE56E0B}"/>
    <cellStyle name="Percent [00]_Exist Trunk Assets - Ferry" xfId="9836" xr:uid="{14979F55-8220-43B6-B890-106C22374AF3}"/>
    <cellStyle name="Percent [2]" xfId="2214" xr:uid="{0FF6DE23-5A80-487D-8497-C10D8B3CC8EA}"/>
    <cellStyle name="Percent [2] 2" xfId="2520" xr:uid="{10410EDA-4B59-40C8-963C-8934EDFAD513}"/>
    <cellStyle name="Percent [2] 2 2" xfId="7044" xr:uid="{1632B53C-37AC-41A5-BB9E-E60687E2D1F0}"/>
    <cellStyle name="Percent [2] 2 3" xfId="7045" xr:uid="{682024B0-5889-4D65-B2EE-86E0838575A8}"/>
    <cellStyle name="Percent [2] 2_Exist Trunk Assets - Ferry" xfId="9843" xr:uid="{D54452BD-5378-4B43-9C5C-54195AF4E0E4}"/>
    <cellStyle name="Percent [2] 3" xfId="7046" xr:uid="{4A7497CC-DDAC-4973-8B95-344FF7D39DDE}"/>
    <cellStyle name="Percent [2] 4" xfId="7047" xr:uid="{AC73C27A-8CAE-468E-90FD-9E5A10886BA8}"/>
    <cellStyle name="Percent [2]_Exist Trunk Assets - Ferry" xfId="9842" xr:uid="{828FD7AF-FA3D-42C4-A6F6-5AB828B8E34F}"/>
    <cellStyle name="Percent 2" xfId="6" xr:uid="{68629078-3801-7540-8C7A-1C25B67D984F}"/>
    <cellStyle name="Percent 2 2" xfId="2521" xr:uid="{8ADD878E-3E34-4C47-AAE0-7A44B98034B3}"/>
    <cellStyle name="Percent 2 2 2" xfId="7048" xr:uid="{218728F7-6B94-40A0-B017-D6F366845CE3}"/>
    <cellStyle name="Percent 2 2 3" xfId="7049" xr:uid="{6526D19B-5373-4B1C-99CC-928114226037}"/>
    <cellStyle name="Percent 2 2 4" xfId="8216" xr:uid="{9B82031A-33D8-4B7F-BEE5-549534A91B65}"/>
    <cellStyle name="Percent 2 2_Exist Trunk Assets - Ferry" xfId="9845" xr:uid="{F6AF7DED-C1D5-428E-AFD6-D4AB7FD49FE9}"/>
    <cellStyle name="Percent 2 3" xfId="7050" xr:uid="{D43130AE-280A-4F93-B744-9C24535B3979}"/>
    <cellStyle name="Percent 2 4" xfId="7051" xr:uid="{7427A448-D3DA-4B6E-984B-F084F220CDFA}"/>
    <cellStyle name="Percent 2_Exist Trunk Assets - Ferry" xfId="9844" xr:uid="{467A90F8-297C-46BD-B85A-BA3D53177BA7}"/>
    <cellStyle name="Percent 3" xfId="2431" xr:uid="{A9CFD761-6B70-44FC-B236-ABBAFDBCD2B2}"/>
    <cellStyle name="Percent 3 2" xfId="7052" xr:uid="{E50216EA-C36C-4292-B24B-3B249886198C}"/>
    <cellStyle name="Percent 3 3" xfId="7053" xr:uid="{C37919A2-2E89-4FEC-96EB-D2EB3FF6816C}"/>
    <cellStyle name="Percent 3_Exist Trunk Assets - Ferry" xfId="9846" xr:uid="{85E1229A-DE37-44C0-9012-AD64C8927DE7}"/>
    <cellStyle name="Pnumber" xfId="2215" xr:uid="{8E490DDE-2AD7-447B-A592-7F6D58294406}"/>
    <cellStyle name="Pnumber 2" xfId="7054" xr:uid="{5F661E61-9C9A-4358-9875-B50E8E4F7697}"/>
    <cellStyle name="Pnumber 3" xfId="7055" xr:uid="{9D22CB1A-1CD7-4567-8350-B5FF3730CAE4}"/>
    <cellStyle name="Pnumber_Exist Trunk Assets - Ferry" xfId="9847" xr:uid="{A0E5B002-FED9-4DCE-B35D-D882D26121DF}"/>
    <cellStyle name="Popis" xfId="2216" xr:uid="{9642242D-9134-427D-9FEC-C1E6CDCF6615}"/>
    <cellStyle name="Popis 2" xfId="7056" xr:uid="{0D531392-31DB-47E1-8EBC-4EAF8EF0FBFA}"/>
    <cellStyle name="Popis 3" xfId="7057" xr:uid="{440F5CDF-64BE-4DD3-AA8E-ABBAAE0F9ACE}"/>
    <cellStyle name="Popis_Exist Trunk Assets - Ferry" xfId="9848" xr:uid="{20640E04-F901-45E9-BA03-520EACFEB939}"/>
    <cellStyle name="Poznámka" xfId="2217" xr:uid="{1AF884CC-53A8-4387-A308-E6CF5E7668F4}"/>
    <cellStyle name="Poznámka 2" xfId="7058" xr:uid="{E3CC642B-BDE6-46FD-ADDC-96FEE577467F}"/>
    <cellStyle name="Poznámka 3" xfId="7059" xr:uid="{08963C53-1D90-42A8-8B1B-1327DFFAC6CD}"/>
    <cellStyle name="Poznámka_Exist Trunk Assets - Ferry" xfId="9849" xr:uid="{30511CD6-3DFE-4EE4-9A5D-06AFDC15AE74}"/>
    <cellStyle name="PrePop Currency (0)" xfId="2218" xr:uid="{DDBC7DE4-1A12-43AE-ACA6-2B6E3E338FC0}"/>
    <cellStyle name="PrePop Currency (0) 10" xfId="2219" xr:uid="{CAE5D08C-C3CE-47B9-ACB5-31E7AAF50214}"/>
    <cellStyle name="PrePop Currency (0) 10 2" xfId="7060" xr:uid="{4EAE84DF-F229-4B25-A893-0B8AC4FEA801}"/>
    <cellStyle name="PrePop Currency (0) 10 3" xfId="7061" xr:uid="{44877759-FBBC-4697-97A7-1EF01F1170ED}"/>
    <cellStyle name="PrePop Currency (0) 10_Exist Trunk Assets - Ferry" xfId="9851" xr:uid="{0537A7E6-CDAB-4346-B05E-6CA14EB88548}"/>
    <cellStyle name="PrePop Currency (0) 11" xfId="2220" xr:uid="{0AD6CF67-969A-4BBB-A342-1D3DEDEB4154}"/>
    <cellStyle name="PrePop Currency (0) 11 2" xfId="7062" xr:uid="{6E8D14FB-314A-46FA-BE1A-FB0E0E138A66}"/>
    <cellStyle name="PrePop Currency (0) 11 3" xfId="7063" xr:uid="{BD35C3AC-CA21-4008-9159-55F34D3F8778}"/>
    <cellStyle name="PrePop Currency (0) 11_Exist Trunk Assets - Ferry" xfId="9852" xr:uid="{B99E505D-DF44-4417-A17A-E774B66D31BB}"/>
    <cellStyle name="PrePop Currency (0) 12" xfId="7064" xr:uid="{56B9A7CC-C823-4ECA-964B-11B83A3A5AA3}"/>
    <cellStyle name="PrePop Currency (0) 13" xfId="7065" xr:uid="{A833B2D9-FEF8-4ED8-A486-D25017DCFBBA}"/>
    <cellStyle name="PrePop Currency (0) 2" xfId="2221" xr:uid="{CEA2DFDE-A507-4365-BE83-CB889A1F3AEA}"/>
    <cellStyle name="PrePop Currency (0) 2 2" xfId="2522" xr:uid="{96257D40-5F82-4CA6-96E3-8D7CEA6C057B}"/>
    <cellStyle name="PrePop Currency (0) 2 2 2" xfId="7066" xr:uid="{9204BA7A-8A8E-45B6-A1E1-F03C1EC2098C}"/>
    <cellStyle name="PrePop Currency (0) 2 2 3" xfId="7067" xr:uid="{1A803E09-EF68-46FC-A17B-D822FAD3D135}"/>
    <cellStyle name="PrePop Currency (0) 2 2_Exist Trunk Assets - Ferry" xfId="9854" xr:uid="{263A9CA2-DD03-4549-B635-41F3A8574E06}"/>
    <cellStyle name="PrePop Currency (0) 2 3" xfId="7068" xr:uid="{B8D043A8-D697-4C80-AF99-BA9E8748326D}"/>
    <cellStyle name="PrePop Currency (0) 2 4" xfId="7069" xr:uid="{BD195A4B-4512-49DA-BE20-4B97DF32C8E8}"/>
    <cellStyle name="PrePop Currency (0) 2_Exist Trunk Assets - Ferry" xfId="9853" xr:uid="{EEA6EE8B-F682-4E90-A73C-0FE053BC35FE}"/>
    <cellStyle name="PrePop Currency (0) 3" xfId="2222" xr:uid="{CDC0DACD-8F21-4C8A-8B27-8DC7267C62D7}"/>
    <cellStyle name="PrePop Currency (0) 3 2" xfId="2523" xr:uid="{BCE7C65E-554B-413D-B889-7B24850E0A58}"/>
    <cellStyle name="PrePop Currency (0) 3 2 2" xfId="7070" xr:uid="{7E4AE931-107F-40E9-8161-05AF4109854B}"/>
    <cellStyle name="PrePop Currency (0) 3 2 3" xfId="7071" xr:uid="{8728AE46-CF52-40F7-BCE3-6CE186F5B203}"/>
    <cellStyle name="PrePop Currency (0) 3 2_Exist Trunk Assets - Ferry" xfId="9856" xr:uid="{D680AD14-12EF-462C-993A-9A51182E6F09}"/>
    <cellStyle name="PrePop Currency (0) 3 3" xfId="7072" xr:uid="{1D203533-DE9C-4F8D-8B4F-AE70C0122980}"/>
    <cellStyle name="PrePop Currency (0) 3 4" xfId="7073" xr:uid="{94D5750C-FE61-4F96-9595-77D95B6D6C73}"/>
    <cellStyle name="PrePop Currency (0) 3_Exist Trunk Assets - Ferry" xfId="9855" xr:uid="{CB3D9C7F-013F-42AF-81F5-83C0E7350456}"/>
    <cellStyle name="PrePop Currency (0) 4" xfId="2223" xr:uid="{1A0EEC77-79E1-4EDA-AE61-28AC63B84825}"/>
    <cellStyle name="PrePop Currency (0) 4 2" xfId="2524" xr:uid="{CB88BC39-AB11-4581-AAA6-850BFB15B2A2}"/>
    <cellStyle name="PrePop Currency (0) 4 2 2" xfId="7074" xr:uid="{0A9DC026-F33D-4FDB-9A73-289DDAC54ED2}"/>
    <cellStyle name="PrePop Currency (0) 4 2 3" xfId="7075" xr:uid="{231443D8-70F8-46EA-AE30-C33991DCF7F0}"/>
    <cellStyle name="PrePop Currency (0) 4 2_Exist Trunk Assets - Ferry" xfId="9858" xr:uid="{E47475D5-0431-4763-9B85-3987A5A9FF29}"/>
    <cellStyle name="PrePop Currency (0) 4 3" xfId="7076" xr:uid="{5A1A04CD-B2CC-4806-969A-9EDFC5DC6E10}"/>
    <cellStyle name="PrePop Currency (0) 4 4" xfId="7077" xr:uid="{02BE6424-BDC9-4904-A88A-E97636A3AA36}"/>
    <cellStyle name="PrePop Currency (0) 4_Exist Trunk Assets - Ferry" xfId="9857" xr:uid="{D9BF0976-DFC3-4367-99F9-A5C699750796}"/>
    <cellStyle name="PrePop Currency (0) 5" xfId="2224" xr:uid="{7C3D7D3D-4E70-4354-9562-1A982AE7C7A3}"/>
    <cellStyle name="PrePop Currency (0) 5 2" xfId="2525" xr:uid="{E923D80B-93F8-48CA-9864-09BC45805CFA}"/>
    <cellStyle name="PrePop Currency (0) 5 2 2" xfId="7078" xr:uid="{6F5AA362-D63F-4716-9F86-0E67E6B8A46C}"/>
    <cellStyle name="PrePop Currency (0) 5 2 3" xfId="7079" xr:uid="{84544DB8-8033-4F90-A553-4473286ED147}"/>
    <cellStyle name="PrePop Currency (0) 5 2_Exist Trunk Assets - Ferry" xfId="9860" xr:uid="{1D20178C-A11E-41BB-AE3A-3526C342220B}"/>
    <cellStyle name="PrePop Currency (0) 5 3" xfId="7080" xr:uid="{90DABFA5-729B-4B32-AC0A-76F4D84A4196}"/>
    <cellStyle name="PrePop Currency (0) 5 4" xfId="7081" xr:uid="{70D44C07-1BD5-4DA3-BBF6-A55CE6FC4583}"/>
    <cellStyle name="PrePop Currency (0) 5_Exist Trunk Assets - Ferry" xfId="9859" xr:uid="{0297FE2B-0187-4AEA-8181-58F6A0749A86}"/>
    <cellStyle name="PrePop Currency (0) 6" xfId="2225" xr:uid="{77C49BDF-CE7C-467B-95B4-4E6575E54050}"/>
    <cellStyle name="PrePop Currency (0) 6 2" xfId="7082" xr:uid="{E622B86C-240A-48C1-AD98-035BACC967CC}"/>
    <cellStyle name="PrePop Currency (0) 6 3" xfId="7083" xr:uid="{6326699E-305F-462B-BB3D-16C8D59A9FB8}"/>
    <cellStyle name="PrePop Currency (0) 6_Exist Trunk Assets - Ferry" xfId="9861" xr:uid="{68866BA4-E85C-46F3-ADDC-7788DB41B6C2}"/>
    <cellStyle name="PrePop Currency (0) 7" xfId="2226" xr:uid="{E3E59048-F447-449C-A898-334F1113AC6E}"/>
    <cellStyle name="PrePop Currency (0) 7 2" xfId="7084" xr:uid="{D5B6E070-9DF0-4523-BD92-931C4D155EF9}"/>
    <cellStyle name="PrePop Currency (0) 7 3" xfId="7085" xr:uid="{D2CAD532-5939-40CE-A6D8-2538759A66CA}"/>
    <cellStyle name="PrePop Currency (0) 7_Exist Trunk Assets - Ferry" xfId="9862" xr:uid="{B0D894F3-1DFB-401F-8149-FE682C4E913B}"/>
    <cellStyle name="PrePop Currency (0) 8" xfId="2227" xr:uid="{25F62EEE-4DB2-42B4-9716-9D40AB4D3586}"/>
    <cellStyle name="PrePop Currency (0) 8 2" xfId="7086" xr:uid="{5B772D64-F108-45AE-933A-093CD6630913}"/>
    <cellStyle name="PrePop Currency (0) 8 3" xfId="7087" xr:uid="{64B128E2-5463-4E61-A783-27C31447A8A6}"/>
    <cellStyle name="PrePop Currency (0) 8_Exist Trunk Assets - Ferry" xfId="9863" xr:uid="{49DAAAAA-4F21-4D55-96DD-E761E4904BDA}"/>
    <cellStyle name="PrePop Currency (0) 9" xfId="2228" xr:uid="{D835B42B-9937-44FE-B7D0-6BA57D1646E8}"/>
    <cellStyle name="PrePop Currency (0) 9 2" xfId="7088" xr:uid="{4825B656-47EB-4CA6-BDCC-22E5A2CA427E}"/>
    <cellStyle name="PrePop Currency (0) 9 3" xfId="7089" xr:uid="{273A4CF3-7687-402A-9AB8-69BFC8E923E5}"/>
    <cellStyle name="PrePop Currency (0) 9_Exist Trunk Assets - Ferry" xfId="9864" xr:uid="{26740542-B9C8-40E8-A96A-BC8A8D153D47}"/>
    <cellStyle name="PrePop Currency (0)_Exist Trunk Assets - Ferry" xfId="9850" xr:uid="{DDBF8344-7EFC-4183-A7CC-150A520528A1}"/>
    <cellStyle name="PrePop Currency (2)" xfId="2229" xr:uid="{4854E75E-091B-443D-9E11-47A8848F4F9C}"/>
    <cellStyle name="PrePop Currency (2) 10" xfId="2230" xr:uid="{DAE38260-0184-419C-BF07-C85EC94E3B01}"/>
    <cellStyle name="PrePop Currency (2) 10 2" xfId="7090" xr:uid="{2D573357-7158-4918-8298-0B58F0558612}"/>
    <cellStyle name="PrePop Currency (2) 10 3" xfId="7091" xr:uid="{55B710B5-8F20-4347-B38D-7465F56CBA73}"/>
    <cellStyle name="PrePop Currency (2) 10_Exist Trunk Assets - Ferry" xfId="9866" xr:uid="{4E376A6A-112D-427A-8980-19CB9B12BF37}"/>
    <cellStyle name="PrePop Currency (2) 11" xfId="2231" xr:uid="{0E70F611-821F-4230-8AD3-CDA044745496}"/>
    <cellStyle name="PrePop Currency (2) 11 2" xfId="7092" xr:uid="{8BBE4326-E88A-464F-B7D2-9F8BF8CC1E56}"/>
    <cellStyle name="PrePop Currency (2) 11 3" xfId="7093" xr:uid="{A1CF9B77-47EF-478E-A8C8-9CA65CCA2AA9}"/>
    <cellStyle name="PrePop Currency (2) 11_Exist Trunk Assets - Ferry" xfId="9867" xr:uid="{FA219BA6-83FB-4F84-A198-0C0246E9244E}"/>
    <cellStyle name="PrePop Currency (2) 12" xfId="7094" xr:uid="{3F7D2854-3489-4BD2-97F1-BC1ED6ABF1F9}"/>
    <cellStyle name="PrePop Currency (2) 13" xfId="7095" xr:uid="{AF2F19EB-5973-4D02-96AC-D409D169BD86}"/>
    <cellStyle name="PrePop Currency (2) 2" xfId="2232" xr:uid="{0588EFFD-5E84-4C48-9F52-2F1D5D200E51}"/>
    <cellStyle name="PrePop Currency (2) 2 2" xfId="2526" xr:uid="{9E4C196B-25C8-4D3D-ACCC-D285006FBC8D}"/>
    <cellStyle name="PrePop Currency (2) 2 2 2" xfId="7096" xr:uid="{1EDEA184-96BA-450A-8BA5-658FAC5B9376}"/>
    <cellStyle name="PrePop Currency (2) 2 2 3" xfId="7097" xr:uid="{41850F2F-0781-4D13-AEEF-F04D847A77EB}"/>
    <cellStyle name="PrePop Currency (2) 2 2_Exist Trunk Assets - Ferry" xfId="9869" xr:uid="{FDB9AE51-C196-4E93-9F98-95067A2F048A}"/>
    <cellStyle name="PrePop Currency (2) 2 3" xfId="7098" xr:uid="{1B85FB48-BDBB-4E66-BE9E-2BCD7F499093}"/>
    <cellStyle name="PrePop Currency (2) 2 4" xfId="7099" xr:uid="{6C2BDE3E-45DE-4B62-9BA0-8CF6631CFD0A}"/>
    <cellStyle name="PrePop Currency (2) 2_Exist Trunk Assets - Ferry" xfId="9868" xr:uid="{68A93611-D463-4597-8041-C35F98776A7B}"/>
    <cellStyle name="PrePop Currency (2) 3" xfId="2233" xr:uid="{4BD6CA9D-E4A0-4EED-91C9-7DF535B39FE0}"/>
    <cellStyle name="PrePop Currency (2) 3 2" xfId="2527" xr:uid="{5F25AF8A-5171-4468-A246-FF92A1F7108A}"/>
    <cellStyle name="PrePop Currency (2) 3 2 2" xfId="7100" xr:uid="{1760478F-BF67-4F84-9E5D-C4625EF92BA1}"/>
    <cellStyle name="PrePop Currency (2) 3 2 3" xfId="7101" xr:uid="{659B9378-8E89-4873-8AC8-339582EED61E}"/>
    <cellStyle name="PrePop Currency (2) 3 2_Exist Trunk Assets - Ferry" xfId="9871" xr:uid="{9B320E38-43C5-4655-85F3-0D77943DC365}"/>
    <cellStyle name="PrePop Currency (2) 3 3" xfId="7102" xr:uid="{E0E5676F-F311-40A9-80C0-94A79BD77FA8}"/>
    <cellStyle name="PrePop Currency (2) 3 4" xfId="7103" xr:uid="{3302DE9C-B161-4890-85A7-635DDB2D00D6}"/>
    <cellStyle name="PrePop Currency (2) 3_Exist Trunk Assets - Ferry" xfId="9870" xr:uid="{83CECEAF-5D74-40D9-8B06-52586AF7BF4E}"/>
    <cellStyle name="PrePop Currency (2) 4" xfId="2234" xr:uid="{C189C765-B2CC-4CF8-9E9E-FE70BED580AB}"/>
    <cellStyle name="PrePop Currency (2) 4 2" xfId="2528" xr:uid="{1DCBE07C-EFDD-417B-BBA4-9DF5680004A9}"/>
    <cellStyle name="PrePop Currency (2) 4 2 2" xfId="7104" xr:uid="{0CD4BC57-392B-4E5D-925A-DF44E895C11A}"/>
    <cellStyle name="PrePop Currency (2) 4 2 3" xfId="7105" xr:uid="{E541E2BC-2ACA-4E50-A9B2-11728E29DFCF}"/>
    <cellStyle name="PrePop Currency (2) 4 2_Exist Trunk Assets - Ferry" xfId="9873" xr:uid="{B80E83BE-8795-4C51-9240-B85F4F8250E6}"/>
    <cellStyle name="PrePop Currency (2) 4 3" xfId="7106" xr:uid="{8FFE712C-ECAE-4CED-A564-72428C4FDEF5}"/>
    <cellStyle name="PrePop Currency (2) 4 4" xfId="7107" xr:uid="{FE634FC9-5370-4563-BAFC-D44B4DBEBDEB}"/>
    <cellStyle name="PrePop Currency (2) 4_Exist Trunk Assets - Ferry" xfId="9872" xr:uid="{D097E5A7-7DC4-4CC5-8ACB-BED00484536C}"/>
    <cellStyle name="PrePop Currency (2) 5" xfId="2235" xr:uid="{90B21B4E-7194-4430-8851-FFAEC1EACB2C}"/>
    <cellStyle name="PrePop Currency (2) 5 2" xfId="2529" xr:uid="{5664A559-D802-41F6-B749-16D9FC1D2FE7}"/>
    <cellStyle name="PrePop Currency (2) 5 2 2" xfId="7108" xr:uid="{16957472-926E-42DA-8C47-06BE58A13ABA}"/>
    <cellStyle name="PrePop Currency (2) 5 2 3" xfId="7109" xr:uid="{A751874D-733F-4A06-9C56-EC74D6E16281}"/>
    <cellStyle name="PrePop Currency (2) 5 2_Exist Trunk Assets - Ferry" xfId="9875" xr:uid="{380E8581-4DDE-417A-B9E8-AF2759BB2F64}"/>
    <cellStyle name="PrePop Currency (2) 5 3" xfId="7110" xr:uid="{F24993A7-34E2-4102-8A0D-99CF5B444FA3}"/>
    <cellStyle name="PrePop Currency (2) 5 4" xfId="7111" xr:uid="{DF2134B0-0533-4A73-9E65-998A16A6C5EA}"/>
    <cellStyle name="PrePop Currency (2) 5_Exist Trunk Assets - Ferry" xfId="9874" xr:uid="{78DA0483-AD2B-47B6-A4B7-ACAF8B8424EA}"/>
    <cellStyle name="PrePop Currency (2) 6" xfId="2236" xr:uid="{D78BCBA4-1198-45DA-B1EE-D7F942FF288F}"/>
    <cellStyle name="PrePop Currency (2) 6 2" xfId="7112" xr:uid="{B39E56AA-0521-43E8-B537-1CCDAA18A6E4}"/>
    <cellStyle name="PrePop Currency (2) 6 3" xfId="7113" xr:uid="{E0AF8C46-8B61-4AAF-9BA3-8ACDF77DD68D}"/>
    <cellStyle name="PrePop Currency (2) 6_Exist Trunk Assets - Ferry" xfId="9876" xr:uid="{C7779019-B545-4D38-8DAF-0C4574B8956E}"/>
    <cellStyle name="PrePop Currency (2) 7" xfId="2237" xr:uid="{632B7BF1-B86B-43C9-A3D2-0C54EF6DE573}"/>
    <cellStyle name="PrePop Currency (2) 7 2" xfId="7114" xr:uid="{77402B68-424F-47F9-9323-C59583D04641}"/>
    <cellStyle name="PrePop Currency (2) 7 3" xfId="7115" xr:uid="{470A51FD-F323-47F9-96CB-468AA27326E5}"/>
    <cellStyle name="PrePop Currency (2) 7_Exist Trunk Assets - Ferry" xfId="9877" xr:uid="{26E7E333-8F6F-4AD3-AE98-2566666996AF}"/>
    <cellStyle name="PrePop Currency (2) 8" xfId="2238" xr:uid="{9DEDA7EA-6543-4B61-963E-6370DAB6764E}"/>
    <cellStyle name="PrePop Currency (2) 8 2" xfId="7116" xr:uid="{68366EF8-49E2-41A9-B733-17CB07B9233B}"/>
    <cellStyle name="PrePop Currency (2) 8 3" xfId="7117" xr:uid="{888813D3-F7AA-4F2D-978C-BF3E2D630DAF}"/>
    <cellStyle name="PrePop Currency (2) 8_Exist Trunk Assets - Ferry" xfId="9878" xr:uid="{4BBE526D-4341-4B9E-89CF-4366924EA1E8}"/>
    <cellStyle name="PrePop Currency (2) 9" xfId="2239" xr:uid="{0811FA93-F618-483E-851A-546C0F158A44}"/>
    <cellStyle name="PrePop Currency (2) 9 2" xfId="7118" xr:uid="{E7A10F81-8C48-43A0-ADE3-57A084611402}"/>
    <cellStyle name="PrePop Currency (2) 9 3" xfId="7119" xr:uid="{8F2511A8-CF08-4033-9289-0D7AEEE5890D}"/>
    <cellStyle name="PrePop Currency (2) 9_Exist Trunk Assets - Ferry" xfId="9879" xr:uid="{6B31E707-CAA1-4F60-921D-DF5EAE84CE19}"/>
    <cellStyle name="PrePop Currency (2)_Exist Trunk Assets - Ferry" xfId="9865" xr:uid="{A4DDC95F-D97E-49AB-96FE-9B24628CBACD}"/>
    <cellStyle name="PrePop Units (0)" xfId="2240" xr:uid="{A027C6AD-2D2A-418E-8C4D-BBF10D7D4305}"/>
    <cellStyle name="PrePop Units (0) 10" xfId="2241" xr:uid="{8E93121C-15DC-4182-9121-43F798DAE6FC}"/>
    <cellStyle name="PrePop Units (0) 10 2" xfId="7120" xr:uid="{2BBF22D4-34DF-440B-B44C-94D561FA809D}"/>
    <cellStyle name="PrePop Units (0) 10 3" xfId="7121" xr:uid="{83B668F3-FF16-4A91-93DF-9998B1D3F07E}"/>
    <cellStyle name="PrePop Units (0) 10_Exist Trunk Assets - Ferry" xfId="9881" xr:uid="{D9D7943E-CF16-44FE-B1C6-CACEB129E82D}"/>
    <cellStyle name="PrePop Units (0) 11" xfId="2242" xr:uid="{FE8CCBDB-8706-4FFA-86EA-110506D19639}"/>
    <cellStyle name="PrePop Units (0) 11 2" xfId="7122" xr:uid="{8262D5DE-78C9-413B-9E38-C1D03A609CA1}"/>
    <cellStyle name="PrePop Units (0) 11 3" xfId="7123" xr:uid="{54FA0B51-326B-404A-BA95-CD2669027BF2}"/>
    <cellStyle name="PrePop Units (0) 11_Exist Trunk Assets - Ferry" xfId="9882" xr:uid="{C6EA2BDD-4128-423B-8956-9488577458A8}"/>
    <cellStyle name="PrePop Units (0) 12" xfId="7124" xr:uid="{5637DB05-36CA-46C7-8C3C-9CC51FADD3E3}"/>
    <cellStyle name="PrePop Units (0) 13" xfId="7125" xr:uid="{D6ACE8D2-0381-432C-AC3A-EC3058D0B2BF}"/>
    <cellStyle name="PrePop Units (0) 2" xfId="2243" xr:uid="{F132D6A9-C613-408C-8B25-BBEE612B350B}"/>
    <cellStyle name="PrePop Units (0) 2 2" xfId="2530" xr:uid="{046105A9-68F0-448F-9F2D-10CCDFC10874}"/>
    <cellStyle name="PrePop Units (0) 2 2 2" xfId="7126" xr:uid="{389042C7-9DC0-445C-BBBB-023D8CA0E389}"/>
    <cellStyle name="PrePop Units (0) 2 2 3" xfId="7127" xr:uid="{F89896F6-5BAE-43D2-8783-F0F5CCEE671F}"/>
    <cellStyle name="PrePop Units (0) 2 2_Exist Trunk Assets - Ferry" xfId="9884" xr:uid="{FA2D9303-7721-492B-9C88-D650419AAC41}"/>
    <cellStyle name="PrePop Units (0) 2 3" xfId="7128" xr:uid="{DD804F70-5604-4394-BF7B-CC3B777E246D}"/>
    <cellStyle name="PrePop Units (0) 2 4" xfId="7129" xr:uid="{86454C8C-B1D5-453B-8757-1FC82854A2A9}"/>
    <cellStyle name="PrePop Units (0) 2_Exist Trunk Assets - Ferry" xfId="9883" xr:uid="{2243174C-7F0B-4BDE-B915-0BC06A8FA387}"/>
    <cellStyle name="PrePop Units (0) 3" xfId="2244" xr:uid="{68C18F77-EA99-4ADC-871E-BAC192DCBB71}"/>
    <cellStyle name="PrePop Units (0) 3 2" xfId="2531" xr:uid="{ED424130-7009-4E10-9CE0-73DC5DBCC141}"/>
    <cellStyle name="PrePop Units (0) 3 2 2" xfId="7130" xr:uid="{D0E51C25-4407-406E-9712-1FDF501E74C6}"/>
    <cellStyle name="PrePop Units (0) 3 2 3" xfId="7131" xr:uid="{3BE4078C-22C9-4E86-BCA7-6051E1C14251}"/>
    <cellStyle name="PrePop Units (0) 3 2_Exist Trunk Assets - Ferry" xfId="9886" xr:uid="{E3898FD1-744C-44AB-854C-96D459D336A9}"/>
    <cellStyle name="PrePop Units (0) 3 3" xfId="7132" xr:uid="{04F5D72C-A8BA-41C9-AE2F-51486CB82D3E}"/>
    <cellStyle name="PrePop Units (0) 3 4" xfId="7133" xr:uid="{B3BAC3F8-AE88-41C1-82DF-73BC8B42897E}"/>
    <cellStyle name="PrePop Units (0) 3_Exist Trunk Assets - Ferry" xfId="9885" xr:uid="{51F59A4F-8872-43BD-8AE3-8275823B663D}"/>
    <cellStyle name="PrePop Units (0) 4" xfId="2245" xr:uid="{E477A992-1C32-4EE2-B339-8C0BB9E908F1}"/>
    <cellStyle name="PrePop Units (0) 4 2" xfId="2532" xr:uid="{A318E07F-799D-44F9-BA93-F5FEF1B51FFE}"/>
    <cellStyle name="PrePop Units (0) 4 2 2" xfId="7134" xr:uid="{1CC05B88-7183-4B96-A244-6A2CCB9C3204}"/>
    <cellStyle name="PrePop Units (0) 4 2 3" xfId="7135" xr:uid="{47B6B204-4EA4-4510-B731-87F90C379396}"/>
    <cellStyle name="PrePop Units (0) 4 2_Exist Trunk Assets - Ferry" xfId="9888" xr:uid="{F9EAC158-ABF2-4277-A38C-61B87DCE4A3E}"/>
    <cellStyle name="PrePop Units (0) 4 3" xfId="7136" xr:uid="{CA9C3D1D-891C-4C32-8C35-AE28E2FA6A31}"/>
    <cellStyle name="PrePop Units (0) 4 4" xfId="7137" xr:uid="{02049A12-032C-4E98-8BF2-A7BAE7B13C5E}"/>
    <cellStyle name="PrePop Units (0) 4_Exist Trunk Assets - Ferry" xfId="9887" xr:uid="{704B24C6-81FD-4967-A613-F0014D4BDD3E}"/>
    <cellStyle name="PrePop Units (0) 5" xfId="2246" xr:uid="{03EC9ECA-26B2-43A7-A255-19F896DB811F}"/>
    <cellStyle name="PrePop Units (0) 5 2" xfId="2533" xr:uid="{6E277D1E-EF4F-43E5-ACB8-86B83C1B915F}"/>
    <cellStyle name="PrePop Units (0) 5 2 2" xfId="7138" xr:uid="{6B298DE1-6740-45CA-B619-3B54D13F2734}"/>
    <cellStyle name="PrePop Units (0) 5 2 3" xfId="7139" xr:uid="{6579E050-00D2-4138-9629-FD2C54D10077}"/>
    <cellStyle name="PrePop Units (0) 5 2_Exist Trunk Assets - Ferry" xfId="9890" xr:uid="{5063CFFA-AA03-41AA-9543-7E5492317066}"/>
    <cellStyle name="PrePop Units (0) 5 3" xfId="7140" xr:uid="{D7CB1191-08D1-4586-8491-8BC0BE6C87AF}"/>
    <cellStyle name="PrePop Units (0) 5 4" xfId="7141" xr:uid="{674EB63F-C471-4B42-AC1F-A69B609BDF67}"/>
    <cellStyle name="PrePop Units (0) 5_Exist Trunk Assets - Ferry" xfId="9889" xr:uid="{30F522AC-3CD1-4CFC-A5F8-C58B86FB8FAE}"/>
    <cellStyle name="PrePop Units (0) 6" xfId="2247" xr:uid="{19031BA3-FBBB-4615-8809-0158DEBB2FA3}"/>
    <cellStyle name="PrePop Units (0) 6 2" xfId="7142" xr:uid="{E1CEFF74-E084-4633-8FBE-B64B33BCA455}"/>
    <cellStyle name="PrePop Units (0) 6 3" xfId="7143" xr:uid="{44A97100-6952-4708-BA7D-F2C1E8CC0F08}"/>
    <cellStyle name="PrePop Units (0) 6_Exist Trunk Assets - Ferry" xfId="9891" xr:uid="{740D74EA-1FAE-4508-A1D9-2839E58CFB5F}"/>
    <cellStyle name="PrePop Units (0) 7" xfId="2248" xr:uid="{0F03FA6F-CD08-4F0B-A124-5DCE39FBCFA1}"/>
    <cellStyle name="PrePop Units (0) 7 2" xfId="7144" xr:uid="{6E18ED22-806F-4166-9201-399DA9C6AD0B}"/>
    <cellStyle name="PrePop Units (0) 7 3" xfId="7145" xr:uid="{8BF57281-806B-4ADB-B7C8-6CE232E014D1}"/>
    <cellStyle name="PrePop Units (0) 7_Exist Trunk Assets - Ferry" xfId="9892" xr:uid="{D8B08E84-6C74-4549-9334-13CEAB622717}"/>
    <cellStyle name="PrePop Units (0) 8" xfId="2249" xr:uid="{D4F114D4-C75B-44A9-AA82-1299E83279C6}"/>
    <cellStyle name="PrePop Units (0) 8 2" xfId="7146" xr:uid="{3E696F45-C75E-45DF-823F-CE3F8481463F}"/>
    <cellStyle name="PrePop Units (0) 8 3" xfId="7147" xr:uid="{ABDA079C-0B38-4C68-BCA9-3A219A2D9D74}"/>
    <cellStyle name="PrePop Units (0) 8_Exist Trunk Assets - Ferry" xfId="9893" xr:uid="{443E15F0-A530-4ACE-A1B0-1392A8381B87}"/>
    <cellStyle name="PrePop Units (0) 9" xfId="2250" xr:uid="{F2EE1DE9-600D-4C48-8F23-272DD8714D11}"/>
    <cellStyle name="PrePop Units (0) 9 2" xfId="7148" xr:uid="{27536639-482E-4799-9BA1-5FE4F68B233C}"/>
    <cellStyle name="PrePop Units (0) 9 3" xfId="7149" xr:uid="{63B554C2-7EEE-40FC-909D-0518B4D66796}"/>
    <cellStyle name="PrePop Units (0) 9_Exist Trunk Assets - Ferry" xfId="9894" xr:uid="{71E2134E-29ED-416A-81D3-9072F1D0DCE7}"/>
    <cellStyle name="PrePop Units (0)_Exist Trunk Assets - Ferry" xfId="9880" xr:uid="{3C2993D6-E9DE-4090-9415-9081DD6AF1F2}"/>
    <cellStyle name="PrePop Units (1)" xfId="2251" xr:uid="{386C1818-030E-4813-B4A1-6DCD61CBFDCA}"/>
    <cellStyle name="PrePop Units (1) 10" xfId="2252" xr:uid="{99495B2C-8705-4CF7-8025-4AB056A32105}"/>
    <cellStyle name="PrePop Units (1) 10 2" xfId="7150" xr:uid="{61FCFF86-5D2F-4F89-AC92-C29DFCA7A19C}"/>
    <cellStyle name="PrePop Units (1) 10 3" xfId="7151" xr:uid="{3CF1BD63-6DFD-45BC-801C-9B80B5C30146}"/>
    <cellStyle name="PrePop Units (1) 10_Exist Trunk Assets - Ferry" xfId="9896" xr:uid="{23EFEBCB-1357-4CC0-A7E4-6D92382C0368}"/>
    <cellStyle name="PrePop Units (1) 11" xfId="2253" xr:uid="{C1EA5114-763E-4336-BFA6-860B8E6B36BE}"/>
    <cellStyle name="PrePop Units (1) 11 2" xfId="7152" xr:uid="{71730524-6EE4-4906-A61D-7CE3F4B092EE}"/>
    <cellStyle name="PrePop Units (1) 11 3" xfId="7153" xr:uid="{5EDDEB8B-C56F-4A80-92C6-87D64CFDAA8F}"/>
    <cellStyle name="PrePop Units (1) 11_Exist Trunk Assets - Ferry" xfId="9897" xr:uid="{789BBAE5-B489-457D-8722-372BACC5DE52}"/>
    <cellStyle name="PrePop Units (1) 12" xfId="7154" xr:uid="{0DCCEA34-F28B-4DC2-BAD4-3789FB9D1FCA}"/>
    <cellStyle name="PrePop Units (1) 13" xfId="7155" xr:uid="{D1135C9B-2643-4279-B8ED-962CF2366797}"/>
    <cellStyle name="PrePop Units (1) 2" xfId="2254" xr:uid="{A728651A-A7AC-41CE-9CC7-C5A2D1F92B75}"/>
    <cellStyle name="PrePop Units (1) 2 2" xfId="7156" xr:uid="{B792593F-ED15-489C-941B-0F7E21E72A6C}"/>
    <cellStyle name="PrePop Units (1) 2 3" xfId="7157" xr:uid="{C4B1946A-55B4-4B86-825B-B563DAAEFFCB}"/>
    <cellStyle name="PrePop Units (1) 2_Exist Trunk Assets - Ferry" xfId="9898" xr:uid="{110EA340-9339-4B3B-8A98-85BE6FD00936}"/>
    <cellStyle name="PrePop Units (1) 3" xfId="2255" xr:uid="{5F48532B-94DD-49BF-AD7E-0FA57234ADE5}"/>
    <cellStyle name="PrePop Units (1) 3 2" xfId="7158" xr:uid="{E09F8119-4960-4356-B009-11304970AA00}"/>
    <cellStyle name="PrePop Units (1) 3 3" xfId="7159" xr:uid="{39EB33F1-DC5A-4F62-B73A-D879CC9487BD}"/>
    <cellStyle name="PrePop Units (1) 3_Exist Trunk Assets - Ferry" xfId="9899" xr:uid="{3FD9D23A-4BC5-4396-B9AD-1AC24D5CADAE}"/>
    <cellStyle name="PrePop Units (1) 4" xfId="2256" xr:uid="{CFB0CD1B-B09D-4254-9E25-E23B98824F60}"/>
    <cellStyle name="PrePop Units (1) 4 2" xfId="7160" xr:uid="{7B5E2EB5-E1AD-49B3-9B23-937E794999D9}"/>
    <cellStyle name="PrePop Units (1) 4 3" xfId="7161" xr:uid="{F32A6009-554F-4962-8356-DECEA79D0CA7}"/>
    <cellStyle name="PrePop Units (1) 4_Exist Trunk Assets - Ferry" xfId="9900" xr:uid="{41A01BCC-B54D-4D41-95A2-BDE5E4D1B23B}"/>
    <cellStyle name="PrePop Units (1) 5" xfId="2257" xr:uid="{98110B31-658F-4964-ACF7-82B02C509082}"/>
    <cellStyle name="PrePop Units (1) 5 2" xfId="7162" xr:uid="{B2A759F1-AE1E-4558-B027-DD4B50A1E66C}"/>
    <cellStyle name="PrePop Units (1) 5 3" xfId="7163" xr:uid="{CC3E04BD-8156-42A7-B7F0-753C04201BA5}"/>
    <cellStyle name="PrePop Units (1) 5_Exist Trunk Assets - Ferry" xfId="9901" xr:uid="{D0D61664-58C9-499A-931E-21BA574F4D0F}"/>
    <cellStyle name="PrePop Units (1) 6" xfId="2258" xr:uid="{6A450913-A2AD-4B11-9620-F7DA01496CAB}"/>
    <cellStyle name="PrePop Units (1) 6 2" xfId="7164" xr:uid="{88BC5A06-2973-4C75-8A91-F207737D16BB}"/>
    <cellStyle name="PrePop Units (1) 6 3" xfId="7165" xr:uid="{599051C4-F1EA-4997-8BFA-ACA90DBE2971}"/>
    <cellStyle name="PrePop Units (1) 6_Exist Trunk Assets - Ferry" xfId="9902" xr:uid="{A3513B78-55F2-407B-B6F9-F536700CEFE4}"/>
    <cellStyle name="PrePop Units (1) 7" xfId="2259" xr:uid="{6D43B659-3903-4E75-BA24-4C83A2C2D46B}"/>
    <cellStyle name="PrePop Units (1) 7 2" xfId="7166" xr:uid="{E4E1157A-0F44-430B-9E2B-EF4C36364E08}"/>
    <cellStyle name="PrePop Units (1) 7 3" xfId="7167" xr:uid="{4678B047-3A09-455E-AEBE-8266F1894DAA}"/>
    <cellStyle name="PrePop Units (1) 7_Exist Trunk Assets - Ferry" xfId="9903" xr:uid="{00D6552D-55FD-4B84-A260-5906CBEDAAC0}"/>
    <cellStyle name="PrePop Units (1) 8" xfId="2260" xr:uid="{84E59E7C-97C8-4C5A-8743-88A49DCD2165}"/>
    <cellStyle name="PrePop Units (1) 8 2" xfId="7168" xr:uid="{11E9523E-9D5E-40BA-B559-3B5A6548465C}"/>
    <cellStyle name="PrePop Units (1) 8 3" xfId="7169" xr:uid="{43BECB32-89B5-424C-8017-D353422905E0}"/>
    <cellStyle name="PrePop Units (1) 8_Exist Trunk Assets - Ferry" xfId="9904" xr:uid="{25C9AA10-D82E-44D9-8CA1-6676A99CDF4A}"/>
    <cellStyle name="PrePop Units (1) 9" xfId="2261" xr:uid="{2645EC4B-3EE8-433C-A6B6-1DC7AB5CB3F8}"/>
    <cellStyle name="PrePop Units (1) 9 2" xfId="7170" xr:uid="{C9BF0857-FDBB-4D70-BFA1-3103FA3A722D}"/>
    <cellStyle name="PrePop Units (1) 9 3" xfId="7171" xr:uid="{A7D3EAFE-4DE2-4A92-8841-6666AA9051CE}"/>
    <cellStyle name="PrePop Units (1) 9_Exist Trunk Assets - Ferry" xfId="9905" xr:uid="{D71D7337-C294-440B-85C5-4A3FAF9AFAEE}"/>
    <cellStyle name="PrePop Units (1)_Exist Trunk Assets - Ferry" xfId="9895" xr:uid="{3CDE4305-3CE3-42B3-A616-B858928FBF82}"/>
    <cellStyle name="PrePop Units (2)" xfId="2262" xr:uid="{C361C1F9-EB72-4AEF-9A9C-C3DF2B540A41}"/>
    <cellStyle name="PrePop Units (2) 10" xfId="2263" xr:uid="{D082CBA9-F919-4344-B283-B59E9F0E9F76}"/>
    <cellStyle name="PrePop Units (2) 10 2" xfId="7172" xr:uid="{EBAD7EB8-7614-4915-B9C6-5F7963F682CE}"/>
    <cellStyle name="PrePop Units (2) 10 3" xfId="7173" xr:uid="{79221CA5-ED4E-4282-8A30-C11A288D2A8D}"/>
    <cellStyle name="PrePop Units (2) 10_Exist Trunk Assets - Ferry" xfId="9907" xr:uid="{728818EB-D5C8-46E2-94F2-BAA48A7132C6}"/>
    <cellStyle name="PrePop Units (2) 11" xfId="2264" xr:uid="{93483351-9681-4985-958D-65A9FC83565D}"/>
    <cellStyle name="PrePop Units (2) 11 2" xfId="7174" xr:uid="{DF51A8A1-E46D-4716-9C8E-2D3D34F39A2B}"/>
    <cellStyle name="PrePop Units (2) 11 3" xfId="7175" xr:uid="{F7A8F3D0-4EFD-4BA9-AC5F-45E301D0F64A}"/>
    <cellStyle name="PrePop Units (2) 11_Exist Trunk Assets - Ferry" xfId="9908" xr:uid="{96199D52-77EB-41A6-8935-72F26A9B5290}"/>
    <cellStyle name="PrePop Units (2) 12" xfId="7176" xr:uid="{26E8C838-988B-4384-802F-9B62996AFCC7}"/>
    <cellStyle name="PrePop Units (2) 13" xfId="7177" xr:uid="{FADD25A7-8DEE-4044-9E59-B5FF57F734C2}"/>
    <cellStyle name="PrePop Units (2) 2" xfId="2265" xr:uid="{BB412EEB-EC25-4283-A986-E01D69B46B53}"/>
    <cellStyle name="PrePop Units (2) 2 2" xfId="2534" xr:uid="{3B84C6E4-6D5B-41CE-9281-F887963EFE95}"/>
    <cellStyle name="PrePop Units (2) 2 2 2" xfId="7178" xr:uid="{C90505A6-91D7-4409-937C-2887B0D986C2}"/>
    <cellStyle name="PrePop Units (2) 2 2 3" xfId="7179" xr:uid="{FCADD6D6-F632-426B-8E16-A86999E42408}"/>
    <cellStyle name="PrePop Units (2) 2 2_Exist Trunk Assets - Ferry" xfId="9910" xr:uid="{67AB59C2-8670-461B-9E09-274494D0D6C3}"/>
    <cellStyle name="PrePop Units (2) 2 3" xfId="7180" xr:uid="{9723FF9C-9D02-45B8-917C-941C953C7CCE}"/>
    <cellStyle name="PrePop Units (2) 2 4" xfId="7181" xr:uid="{F8C3C30C-BFD0-4D2C-9A7E-EE67659D483E}"/>
    <cellStyle name="PrePop Units (2) 2_Exist Trunk Assets - Ferry" xfId="9909" xr:uid="{38B71D45-03A0-45A3-8582-45049AB54AD1}"/>
    <cellStyle name="PrePop Units (2) 3" xfId="2266" xr:uid="{7BF156D9-7313-4F91-9758-CD3BA9D4A367}"/>
    <cellStyle name="PrePop Units (2) 3 2" xfId="2535" xr:uid="{9CB7D860-C606-4DB2-B4EC-922C9C714137}"/>
    <cellStyle name="PrePop Units (2) 3 2 2" xfId="7182" xr:uid="{13D08D10-8D7B-495B-BEFB-8CAD0C05292F}"/>
    <cellStyle name="PrePop Units (2) 3 2 3" xfId="7183" xr:uid="{45DA78D4-DD37-4ECF-A290-8E9C8BF27B7F}"/>
    <cellStyle name="PrePop Units (2) 3 2_Exist Trunk Assets - Ferry" xfId="9912" xr:uid="{BF374CC2-E0B0-4AD3-9863-6E6D38B07B78}"/>
    <cellStyle name="PrePop Units (2) 3 3" xfId="7184" xr:uid="{C172DF71-B89D-4AB9-953A-6D4439F27A7B}"/>
    <cellStyle name="PrePop Units (2) 3 4" xfId="7185" xr:uid="{6E73DA8E-9A6D-44D3-B5A0-D25C8C20FF9A}"/>
    <cellStyle name="PrePop Units (2) 3_Exist Trunk Assets - Ferry" xfId="9911" xr:uid="{CCB746DE-0F88-48DC-A6B7-4AD47D205F47}"/>
    <cellStyle name="PrePop Units (2) 4" xfId="2267" xr:uid="{1CF763B9-3185-4CE0-A500-062E41884CE1}"/>
    <cellStyle name="PrePop Units (2) 4 2" xfId="2536" xr:uid="{7B93A8DA-E970-4BD3-8BF6-0E0AC27EBD82}"/>
    <cellStyle name="PrePop Units (2) 4 2 2" xfId="7186" xr:uid="{F696C48E-8722-4D18-A31F-458322A89284}"/>
    <cellStyle name="PrePop Units (2) 4 2 3" xfId="7187" xr:uid="{9A1EB706-8D56-476D-A0F9-37A71CF7911A}"/>
    <cellStyle name="PrePop Units (2) 4 2_Exist Trunk Assets - Ferry" xfId="9914" xr:uid="{A13D977D-C581-4E48-91DC-D09669D37724}"/>
    <cellStyle name="PrePop Units (2) 4 3" xfId="7188" xr:uid="{8BF10D58-3962-4F7E-99CC-BAD97089CB27}"/>
    <cellStyle name="PrePop Units (2) 4 4" xfId="7189" xr:uid="{619B3F19-A687-45D2-97EA-30E9068366FE}"/>
    <cellStyle name="PrePop Units (2) 4_Exist Trunk Assets - Ferry" xfId="9913" xr:uid="{D5364279-5C42-4F2E-AD4E-3C1B3DF283BB}"/>
    <cellStyle name="PrePop Units (2) 5" xfId="2268" xr:uid="{277A732D-6546-42F3-BF44-F890629F1BAD}"/>
    <cellStyle name="PrePop Units (2) 5 2" xfId="2537" xr:uid="{0072C7AF-8B9E-4629-A4DC-6C7CB935F201}"/>
    <cellStyle name="PrePop Units (2) 5 2 2" xfId="7190" xr:uid="{93088766-81AF-46C7-9FDD-AEC610EEC004}"/>
    <cellStyle name="PrePop Units (2) 5 2 3" xfId="7191" xr:uid="{A0476B8D-1FA7-46E4-8AE7-40FDD6C86AC3}"/>
    <cellStyle name="PrePop Units (2) 5 2_Exist Trunk Assets - Ferry" xfId="9916" xr:uid="{458655D8-1C1A-43C5-B2D8-15E72E5D2CBD}"/>
    <cellStyle name="PrePop Units (2) 5 3" xfId="7192" xr:uid="{AC1C399A-AC9B-43C6-826C-D27FCEEF89DB}"/>
    <cellStyle name="PrePop Units (2) 5 4" xfId="7193" xr:uid="{D2AE752B-62B8-41E9-8D97-F18E92ED7CDC}"/>
    <cellStyle name="PrePop Units (2) 5_Exist Trunk Assets - Ferry" xfId="9915" xr:uid="{22E6E973-0AD6-4D03-8E93-6A7D277FE682}"/>
    <cellStyle name="PrePop Units (2) 6" xfId="2269" xr:uid="{436F8D06-4FFD-46D0-92A7-144C6642488B}"/>
    <cellStyle name="PrePop Units (2) 6 2" xfId="7194" xr:uid="{16FB7495-C914-44B8-AFF5-873481C67A13}"/>
    <cellStyle name="PrePop Units (2) 6 3" xfId="7195" xr:uid="{F6E2CD4C-A757-4E29-9FDD-814AB0E7F0FE}"/>
    <cellStyle name="PrePop Units (2) 6_Exist Trunk Assets - Ferry" xfId="9917" xr:uid="{4B5EEA30-6E45-4BEF-B5AD-B7E9A3ED980E}"/>
    <cellStyle name="PrePop Units (2) 7" xfId="2270" xr:uid="{6FC2D0F0-9DAB-4870-A62D-730CEF0A7160}"/>
    <cellStyle name="PrePop Units (2) 7 2" xfId="7196" xr:uid="{B0093F16-1AE0-44E6-A1DD-1644F35E56EE}"/>
    <cellStyle name="PrePop Units (2) 7 3" xfId="7197" xr:uid="{E793F8F1-B8D7-434E-93E5-F21BBBABF448}"/>
    <cellStyle name="PrePop Units (2) 7_Exist Trunk Assets - Ferry" xfId="9918" xr:uid="{5FE71C5C-2222-4EC2-B585-70858AD88332}"/>
    <cellStyle name="PrePop Units (2) 8" xfId="2271" xr:uid="{1CBD02D4-7C39-4256-B4E8-E6CFA381C77D}"/>
    <cellStyle name="PrePop Units (2) 8 2" xfId="7198" xr:uid="{A4F6A30D-6A7F-49BB-B9FA-4759FF78C7BF}"/>
    <cellStyle name="PrePop Units (2) 8 3" xfId="7199" xr:uid="{41D0FD96-17D2-4BA6-AC71-14BD531AC70A}"/>
    <cellStyle name="PrePop Units (2) 8_Exist Trunk Assets - Ferry" xfId="9919" xr:uid="{8381CEB8-7372-4670-9A3C-CBCD3E76BDD8}"/>
    <cellStyle name="PrePop Units (2) 9" xfId="2272" xr:uid="{96DA1A8F-81B4-4CF8-A7EE-E0E63AB28BCF}"/>
    <cellStyle name="PrePop Units (2) 9 2" xfId="7200" xr:uid="{684D497E-0A75-4DBA-8F9F-7E0ACFEBEC38}"/>
    <cellStyle name="PrePop Units (2) 9 3" xfId="7201" xr:uid="{76E19A49-1347-42AB-8BC4-C3E0F193903F}"/>
    <cellStyle name="PrePop Units (2) 9_Exist Trunk Assets - Ferry" xfId="9920" xr:uid="{BB13436D-CBB5-489C-B6AC-FAB321FA3EFE}"/>
    <cellStyle name="PrePop Units (2)_Exist Trunk Assets - Ferry" xfId="9906" xr:uid="{A42620F4-96D6-430A-A6F4-451765350C1C}"/>
    <cellStyle name="Result_NoDecimals" xfId="2273" xr:uid="{D6074DAE-1F69-4D95-B711-DCA361ED63F0}"/>
    <cellStyle name="sbt2" xfId="2274" xr:uid="{277830B7-A9AB-4943-8C9A-2549B0100E70}"/>
    <cellStyle name="sbt2 2" xfId="2275" xr:uid="{6FBB2FAC-42AF-4BD0-9FAA-7C30BCC704D3}"/>
    <cellStyle name="sbt2 2 2" xfId="7202" xr:uid="{08B83639-D27A-4588-9C62-3BFECE9D8BEA}"/>
    <cellStyle name="sbt2 2 3" xfId="7203" xr:uid="{E79C1A1E-0C0C-4DFC-B2B7-955EEEFFC731}"/>
    <cellStyle name="sbt2 2_Exist Trunk Assets - Ferry" xfId="9922" xr:uid="{EB0AE0B1-5C3C-42DE-A021-9919EA2CAD4F}"/>
    <cellStyle name="sbt2 3" xfId="2276" xr:uid="{24FD511D-C29C-487C-882D-7E125916E28F}"/>
    <cellStyle name="sbt2 3 2" xfId="7204" xr:uid="{9F5D41DD-EBBC-4E03-90DD-0B3A069096AD}"/>
    <cellStyle name="sbt2 3 3" xfId="7205" xr:uid="{6164DD46-2588-49E0-A198-97FEB19958E7}"/>
    <cellStyle name="sbt2 3_Exist Trunk Assets - Ferry" xfId="9923" xr:uid="{FDEE6C7F-A80D-4B65-9764-AE7FEED87B09}"/>
    <cellStyle name="sbt2 4" xfId="2277" xr:uid="{159E9FFE-557F-48A1-A365-008DDC7700B0}"/>
    <cellStyle name="sbt2 4 2" xfId="7206" xr:uid="{7C6A7F3E-35D0-4B65-B245-23FFCDE90B76}"/>
    <cellStyle name="sbt2 4 3" xfId="7207" xr:uid="{1057A9AC-463A-4838-9D74-AE1855364C9F}"/>
    <cellStyle name="sbt2 4_Exist Trunk Assets - Ferry" xfId="9924" xr:uid="{D11BAA04-32DA-4DD5-A18B-C87BA3BE9B5C}"/>
    <cellStyle name="sbt2 5" xfId="2278" xr:uid="{CEF9CD57-8D9F-4ADD-8664-4D864FFBDF4B}"/>
    <cellStyle name="sbt2 5 2" xfId="7208" xr:uid="{D1B822C0-77AB-4308-A01C-5DCD71641CA2}"/>
    <cellStyle name="sbt2 5 3" xfId="7209" xr:uid="{7A68E335-8BCA-466B-9C28-FC48472232EA}"/>
    <cellStyle name="sbt2 5_Exist Trunk Assets - Ferry" xfId="9925" xr:uid="{3FDA401D-A512-4A4E-9D97-0BB0ED904D8B}"/>
    <cellStyle name="sbt2 6" xfId="7210" xr:uid="{6FB8DDB6-9B63-425A-BEFB-EF901D64E082}"/>
    <cellStyle name="sbt2 7" xfId="7211" xr:uid="{9976793C-F8FE-418D-935E-4D274B864006}"/>
    <cellStyle name="sbt2_Exist Trunk Assets - Ferry" xfId="9921" xr:uid="{4C63C129-46C1-45A5-BA23-40689D70DC46}"/>
    <cellStyle name="Standard_PERSON2" xfId="2279" xr:uid="{E076FAA5-2F75-4197-815E-B7CA6CD0D083}"/>
    <cellStyle name="Style 1" xfId="2280" xr:uid="{8FC948D9-54C7-4966-A6BF-A2D879738FC1}"/>
    <cellStyle name="Style 1 2" xfId="7212" xr:uid="{95880062-BA58-49EC-9BE9-D77009728D48}"/>
    <cellStyle name="Style 1 3" xfId="7213" xr:uid="{8986E53D-87E0-42D4-A399-8E7723E87C18}"/>
    <cellStyle name="Style 1_Exist Trunk Assets - Ferry" xfId="9926" xr:uid="{C6E851DE-A80D-4D84-95F8-7D002C93CC8A}"/>
    <cellStyle name="subt1" xfId="2281" xr:uid="{26753954-0563-4E6A-AB88-95E158F75389}"/>
    <cellStyle name="subt1 2" xfId="2282" xr:uid="{3D1ED8CD-D66E-4980-8858-4E39F8F4B7BC}"/>
    <cellStyle name="subt1 2 2" xfId="7214" xr:uid="{BB72D221-0CC9-4F6F-A77E-B9F0CD16A23F}"/>
    <cellStyle name="subt1 2 3" xfId="7215" xr:uid="{5159AC93-BCEC-4D4A-B715-578A50074B79}"/>
    <cellStyle name="subt1 2_Exist Trunk Assets - Ferry" xfId="9928" xr:uid="{B72418F3-1BFD-4E4C-A7E1-9007573778CD}"/>
    <cellStyle name="subt1 3" xfId="2283" xr:uid="{338E33A2-7A91-4CB7-A5C5-24A0849C6F0C}"/>
    <cellStyle name="subt1 3 2" xfId="7216" xr:uid="{8CFEA483-A485-4E64-B5DF-B1DCEA22D3A7}"/>
    <cellStyle name="subt1 3 3" xfId="7217" xr:uid="{100B5507-F813-4E4B-AF8E-9238F7D198E2}"/>
    <cellStyle name="subt1 3_Exist Trunk Assets - Ferry" xfId="9929" xr:uid="{100A84BE-0478-43DF-8A58-6688C1358335}"/>
    <cellStyle name="subt1 4" xfId="2284" xr:uid="{D2C62C5A-4ACE-4869-841F-39FBF7FBCF05}"/>
    <cellStyle name="subt1 4 2" xfId="7218" xr:uid="{266A5826-9552-4223-AF6F-06F9258DA68E}"/>
    <cellStyle name="subt1 4 3" xfId="7219" xr:uid="{CAD1E82B-16DF-41B3-AD7B-6BDA6C799DAC}"/>
    <cellStyle name="subt1 4_Exist Trunk Assets - Ferry" xfId="9930" xr:uid="{2B512D46-42DE-4E0F-9C85-2095D283906F}"/>
    <cellStyle name="subt1 5" xfId="2285" xr:uid="{ACAF1D89-F4A2-4D63-92EE-4686F9A026AC}"/>
    <cellStyle name="subt1 5 2" xfId="7220" xr:uid="{5272AB82-C7D9-45AE-A0DA-5FF1883CFF96}"/>
    <cellStyle name="subt1 5 3" xfId="7221" xr:uid="{34BAE1A2-9527-481E-8D1C-54B5175BFAB5}"/>
    <cellStyle name="subt1 5_Exist Trunk Assets - Ferry" xfId="9931" xr:uid="{3660A359-97B8-43CF-A4E7-DD98A3ABFAEC}"/>
    <cellStyle name="subt1 6" xfId="7222" xr:uid="{A6FD1D72-16E8-469F-BC82-16F5BD4CAF4B}"/>
    <cellStyle name="subt1 7" xfId="7223" xr:uid="{39E15711-2121-4978-865E-88CD65BBB266}"/>
    <cellStyle name="subt1_Exist Trunk Assets - Ferry" xfId="9927" xr:uid="{DE9FA40D-9A02-4428-939E-919A56A891B1}"/>
    <cellStyle name="Text Indent A" xfId="2286" xr:uid="{BD412502-925E-4268-B724-BBAB6DDF2930}"/>
    <cellStyle name="Text Indent A 2" xfId="7224" xr:uid="{4C7B978E-45DF-4BDE-9314-6D84F5DEA73E}"/>
    <cellStyle name="Text Indent A 3" xfId="7225" xr:uid="{BDFD3257-5101-455E-BA55-F4ACC08F930C}"/>
    <cellStyle name="Text Indent A_Exist Trunk Assets - Ferry" xfId="9932" xr:uid="{758DC0D5-90A2-4B3F-B743-A3EAE1400447}"/>
    <cellStyle name="Text Indent B" xfId="2287" xr:uid="{22FE8E7B-02D9-4CC4-9B41-9D0401677681}"/>
    <cellStyle name="Text Indent B 10" xfId="2288" xr:uid="{C6827317-CD5C-439A-ACAF-8A33332C98FB}"/>
    <cellStyle name="Text Indent B 10 2" xfId="7226" xr:uid="{C07B8DB1-1464-4CA2-A0D8-46F3E1BD6A4B}"/>
    <cellStyle name="Text Indent B 10 3" xfId="7227" xr:uid="{FEDB1102-F472-460E-BE03-4A5C4FB2FBE4}"/>
    <cellStyle name="Text Indent B 10_Exist Trunk Assets - Ferry" xfId="9934" xr:uid="{E5A40BD8-950C-4C03-BD7D-FF1F49B59A1B}"/>
    <cellStyle name="Text Indent B 11" xfId="2289" xr:uid="{52F346E1-E218-4F51-8789-FD80BBFA7749}"/>
    <cellStyle name="Text Indent B 11 2" xfId="7228" xr:uid="{F8455C7A-93C2-4617-AB8E-27B90024B044}"/>
    <cellStyle name="Text Indent B 11 3" xfId="7229" xr:uid="{F6C47FFA-1634-4D20-8C5A-FF27BC3070AC}"/>
    <cellStyle name="Text Indent B 11_Exist Trunk Assets - Ferry" xfId="9935" xr:uid="{9AFEC29D-FB9E-4FA0-BE92-D97FAA75A685}"/>
    <cellStyle name="Text Indent B 12" xfId="7230" xr:uid="{4BD17AEA-73AD-464A-A694-9AB2B26D1148}"/>
    <cellStyle name="Text Indent B 13" xfId="7231" xr:uid="{B36519F4-9EAE-45B1-8DE3-3F873DEE34A1}"/>
    <cellStyle name="Text Indent B 2" xfId="2290" xr:uid="{2AA761B2-D37B-48E3-B5BE-CDD72EE36CE1}"/>
    <cellStyle name="Text Indent B 2 2" xfId="7232" xr:uid="{0E910FA6-FCCC-4E7C-8E79-FB12A3BC5D5E}"/>
    <cellStyle name="Text Indent B 2 3" xfId="7233" xr:uid="{8C734800-242B-4C23-AA23-D7C6ADDD78DE}"/>
    <cellStyle name="Text Indent B 2_Exist Trunk Assets - Ferry" xfId="9936" xr:uid="{E7A06791-88DA-4029-A65E-69635CE79247}"/>
    <cellStyle name="Text Indent B 3" xfId="2291" xr:uid="{9B902BEC-A6A3-4A15-9726-C93449C010B8}"/>
    <cellStyle name="Text Indent B 3 2" xfId="7234" xr:uid="{179DF4C4-DB0A-4DD8-953C-7D0904476274}"/>
    <cellStyle name="Text Indent B 3 3" xfId="7235" xr:uid="{D0E1EE53-8A4A-4441-8766-4D399D2A6EAF}"/>
    <cellStyle name="Text Indent B 3_Exist Trunk Assets - Ferry" xfId="9937" xr:uid="{1599E6A8-90C8-4B82-B6F0-9AE7FFF00A75}"/>
    <cellStyle name="Text Indent B 4" xfId="2292" xr:uid="{98356770-2EE3-49EB-BA01-BE8675835940}"/>
    <cellStyle name="Text Indent B 4 2" xfId="7236" xr:uid="{0D5B87BF-CD87-4E0D-9F24-D1860867A733}"/>
    <cellStyle name="Text Indent B 4 3" xfId="7237" xr:uid="{C52C8DAA-4488-4E6E-BD57-019FA73E8153}"/>
    <cellStyle name="Text Indent B 4_Exist Trunk Assets - Ferry" xfId="9938" xr:uid="{882EFBBA-E71B-4089-B379-D2694667AE6C}"/>
    <cellStyle name="Text Indent B 5" xfId="2293" xr:uid="{5A04468A-D6B7-4872-B1D2-E081E7630CC5}"/>
    <cellStyle name="Text Indent B 5 2" xfId="7238" xr:uid="{36512290-EE4D-481A-AEEA-EE729BF0FE6A}"/>
    <cellStyle name="Text Indent B 5 3" xfId="7239" xr:uid="{B2247AF6-C95A-4137-8066-663EABEAD2F7}"/>
    <cellStyle name="Text Indent B 5_Exist Trunk Assets - Ferry" xfId="9939" xr:uid="{DBB046C4-2D32-497F-887B-329F1837DC5A}"/>
    <cellStyle name="Text Indent B 6" xfId="2294" xr:uid="{D1924A9D-917F-4D09-8CCD-AC1A346B6E18}"/>
    <cellStyle name="Text Indent B 6 2" xfId="7240" xr:uid="{A12EC323-A4DC-4D06-A113-88D55D4FB1AE}"/>
    <cellStyle name="Text Indent B 6 3" xfId="7241" xr:uid="{870535BD-3B9F-4195-B20D-60A4C1752A6F}"/>
    <cellStyle name="Text Indent B 6_Exist Trunk Assets - Ferry" xfId="9940" xr:uid="{6CE2B8A7-C4D9-4B45-B303-846BE81CB694}"/>
    <cellStyle name="Text Indent B 7" xfId="2295" xr:uid="{27D4777A-0F51-4ADF-BA9A-19E3C0EBB5E8}"/>
    <cellStyle name="Text Indent B 7 2" xfId="7242" xr:uid="{DF806F23-D5DC-484E-AD48-2C8061094DB0}"/>
    <cellStyle name="Text Indent B 7 3" xfId="7243" xr:uid="{CDB95CF6-558D-4031-97D6-90D2F34FD23F}"/>
    <cellStyle name="Text Indent B 7_Exist Trunk Assets - Ferry" xfId="9941" xr:uid="{55718A4D-1067-4677-9BFA-FD84C7B8777A}"/>
    <cellStyle name="Text Indent B 8" xfId="2296" xr:uid="{BA97A140-FE0C-4A03-8AD9-F3EB18A0D137}"/>
    <cellStyle name="Text Indent B 8 2" xfId="7244" xr:uid="{FC156E17-1A19-4CA7-B496-028FE9E48A9E}"/>
    <cellStyle name="Text Indent B 8 3" xfId="7245" xr:uid="{86DB6BE6-7D55-4A30-B13D-40867DA98206}"/>
    <cellStyle name="Text Indent B 8_Exist Trunk Assets - Ferry" xfId="9942" xr:uid="{58EE77C1-8D9D-43B5-BEE4-B399F74E5E14}"/>
    <cellStyle name="Text Indent B 9" xfId="2297" xr:uid="{8507BA6A-BA6A-4379-A579-B10A44905AA2}"/>
    <cellStyle name="Text Indent B 9 2" xfId="7246" xr:uid="{591D6C37-543D-4534-99DD-5DED8BCB6373}"/>
    <cellStyle name="Text Indent B 9 3" xfId="7247" xr:uid="{C5626C4A-3748-410D-B2AE-C14FB214778B}"/>
    <cellStyle name="Text Indent B 9_Exist Trunk Assets - Ferry" xfId="9943" xr:uid="{D4189A59-B9AF-4875-BF6D-2A8D11923F11}"/>
    <cellStyle name="Text Indent B_Exist Trunk Assets - Ferry" xfId="9933" xr:uid="{18F3142C-8BA8-41A2-83BF-C403BC786276}"/>
    <cellStyle name="Text Indent C" xfId="2298" xr:uid="{35A05153-F213-4E3A-B53B-AC91E943A604}"/>
    <cellStyle name="Text Indent C 10" xfId="2299" xr:uid="{24BDF241-F7F6-42C2-A47E-F1FB979B04D0}"/>
    <cellStyle name="Text Indent C 10 2" xfId="7248" xr:uid="{4C65FC56-F600-4B34-A5F8-FAFA9F399282}"/>
    <cellStyle name="Text Indent C 10 3" xfId="7249" xr:uid="{9649034C-6EBF-424C-865D-899652F05C18}"/>
    <cellStyle name="Text Indent C 10_Exist Trunk Assets - Ferry" xfId="9945" xr:uid="{16323651-3372-452A-B86F-BFEBA7371E4E}"/>
    <cellStyle name="Text Indent C 11" xfId="2300" xr:uid="{E63B9544-8FFC-4464-899C-511B0539D093}"/>
    <cellStyle name="Text Indent C 11 2" xfId="7250" xr:uid="{9E00CFB9-47D4-4448-947F-D3E8A91281FA}"/>
    <cellStyle name="Text Indent C 11 3" xfId="7251" xr:uid="{6718E507-F688-4832-A34C-42BEBCCF9DA4}"/>
    <cellStyle name="Text Indent C 11_Exist Trunk Assets - Ferry" xfId="9946" xr:uid="{72D4224D-473A-4636-805D-1B21FCAD494B}"/>
    <cellStyle name="Text Indent C 12" xfId="7252" xr:uid="{FF6E75F1-0137-4A70-A048-E4729E89E57E}"/>
    <cellStyle name="Text Indent C 13" xfId="7253" xr:uid="{8FC6D6A9-F808-4D6A-8AC4-717109A385AD}"/>
    <cellStyle name="Text Indent C 2" xfId="2301" xr:uid="{9B1C0997-7AF3-48C0-8457-981990AA54B9}"/>
    <cellStyle name="Text Indent C 2 2" xfId="7254" xr:uid="{338B2A6C-67F0-442F-8400-E0D40D2D3781}"/>
    <cellStyle name="Text Indent C 2 3" xfId="7255" xr:uid="{78FD72C7-126A-45F8-83AA-BD06D6E620B5}"/>
    <cellStyle name="Text Indent C 2_Exist Trunk Assets - Ferry" xfId="9947" xr:uid="{14F36756-B032-4A82-9681-FC4BEB3BB8B6}"/>
    <cellStyle name="Text Indent C 3" xfId="2302" xr:uid="{3CEF0BF4-D308-4B0E-A4BE-53643AE91592}"/>
    <cellStyle name="Text Indent C 3 2" xfId="7256" xr:uid="{1D35B782-083B-43F4-9654-AC6AA2DE9156}"/>
    <cellStyle name="Text Indent C 3 3" xfId="7257" xr:uid="{C5AF5A03-3B6B-4966-A133-0DE9AC2BD53E}"/>
    <cellStyle name="Text Indent C 3_Exist Trunk Assets - Ferry" xfId="9948" xr:uid="{1D2A90AB-7CB8-4BF5-96DE-60652791330F}"/>
    <cellStyle name="Text Indent C 4" xfId="2303" xr:uid="{FE4FDD75-2C0D-4097-90F3-0B5CC180127E}"/>
    <cellStyle name="Text Indent C 4 2" xfId="7258" xr:uid="{09AFDE23-833B-4369-82DD-B9AFDD7A0F36}"/>
    <cellStyle name="Text Indent C 4 3" xfId="7259" xr:uid="{018F241E-6F91-4092-BED2-3864C7D10D9B}"/>
    <cellStyle name="Text Indent C 4_Exist Trunk Assets - Ferry" xfId="9949" xr:uid="{6742976E-C84B-45AE-8FFB-991E61170C56}"/>
    <cellStyle name="Text Indent C 5" xfId="2304" xr:uid="{6C224D20-3987-4F4E-9557-69DAFA9275F2}"/>
    <cellStyle name="Text Indent C 5 2" xfId="7260" xr:uid="{625F7C62-EEB7-4532-9CE0-484B5B46A71C}"/>
    <cellStyle name="Text Indent C 5 3" xfId="7261" xr:uid="{3BA96A03-1C77-49F0-BA27-40451FA41C2C}"/>
    <cellStyle name="Text Indent C 5_Exist Trunk Assets - Ferry" xfId="9950" xr:uid="{42AEBD6A-217E-4A10-BEB4-6DEB0BCDA7BB}"/>
    <cellStyle name="Text Indent C 6" xfId="2305" xr:uid="{70EB4686-1E7C-42BD-9CC6-12D0704D5DA1}"/>
    <cellStyle name="Text Indent C 6 2" xfId="7262" xr:uid="{EC002FEE-0D45-460E-B3BD-DAAD1E027A4D}"/>
    <cellStyle name="Text Indent C 6 3" xfId="7263" xr:uid="{75E3FB00-E740-4B83-A9D1-0D8AB2333224}"/>
    <cellStyle name="Text Indent C 6_Exist Trunk Assets - Ferry" xfId="9951" xr:uid="{1B279876-C43F-452D-BEA6-41DE6BB7FFAE}"/>
    <cellStyle name="Text Indent C 7" xfId="2306" xr:uid="{1B13FEE1-07D9-48A7-A898-4DA6267445C4}"/>
    <cellStyle name="Text Indent C 7 2" xfId="7264" xr:uid="{9A272E02-C7F4-4F00-B70B-07E156CBDD75}"/>
    <cellStyle name="Text Indent C 7 3" xfId="7265" xr:uid="{91BC447F-DEC6-4DEA-875A-B88A8B284C2F}"/>
    <cellStyle name="Text Indent C 7_Exist Trunk Assets - Ferry" xfId="9952" xr:uid="{923EE367-F5EF-4F5D-AC19-21E54317EA68}"/>
    <cellStyle name="Text Indent C 8" xfId="2307" xr:uid="{964B8C06-38A3-49DE-A331-24AEC6906BD4}"/>
    <cellStyle name="Text Indent C 8 2" xfId="7266" xr:uid="{584F25F2-DE96-4EBB-86EF-5E7717B55024}"/>
    <cellStyle name="Text Indent C 8 3" xfId="7267" xr:uid="{B3DBDDD7-B998-4E6D-8E90-38A9E4111FB6}"/>
    <cellStyle name="Text Indent C 8_Exist Trunk Assets - Ferry" xfId="9953" xr:uid="{AC8B5D04-21CD-4F71-B696-32A41E3E068F}"/>
    <cellStyle name="Text Indent C 9" xfId="2308" xr:uid="{51E19E12-09DD-4DE9-A9F1-19A0BD0A4AE8}"/>
    <cellStyle name="Text Indent C 9 2" xfId="7268" xr:uid="{02D80DE8-1129-4E27-8B6A-4954741C29E8}"/>
    <cellStyle name="Text Indent C 9 3" xfId="7269" xr:uid="{88B35A5A-BF7E-49E9-B788-D2EAD84BB64E}"/>
    <cellStyle name="Text Indent C 9_Exist Trunk Assets - Ferry" xfId="9954" xr:uid="{F8CE92F4-95E3-4F99-A6DE-BD5ED7072D9B}"/>
    <cellStyle name="Text Indent C_Exist Trunk Assets - Ferry" xfId="9944" xr:uid="{5440A9EC-B2AE-4287-B152-B9C6CA5A6FA5}"/>
    <cellStyle name="Title 10" xfId="1722" xr:uid="{D68D0927-EF7A-4018-97F8-C502B20476DB}"/>
    <cellStyle name="Title 10 2" xfId="7270" xr:uid="{10F3F4EF-663B-4222-9BD5-B66DDF524C04}"/>
    <cellStyle name="Title 10 3" xfId="7271" xr:uid="{57510D1E-1BB4-4442-91B3-3C2770F9779F}"/>
    <cellStyle name="Title 10_Exist Trunk Assets - Ferry" xfId="9955" xr:uid="{E8220154-BE1B-4443-B0FF-8A3CF1EAC84E}"/>
    <cellStyle name="Title 11" xfId="1723" xr:uid="{C4C2C320-2DFF-4239-9968-9B9B05D2CDD7}"/>
    <cellStyle name="Title 11 2" xfId="7272" xr:uid="{3BAB2D49-8550-4391-AED9-644E44CBF94F}"/>
    <cellStyle name="Title 11 3" xfId="7273" xr:uid="{99B8EA88-F452-48E1-BA2A-E8555F45AA2B}"/>
    <cellStyle name="Title 11_Exist Trunk Assets - Ferry" xfId="9956" xr:uid="{C99A721C-776C-4E11-B61D-3C696EEAF2B9}"/>
    <cellStyle name="Title 12" xfId="1724" xr:uid="{675F75B1-2EF6-4FA5-B61F-7C91B59EDA35}"/>
    <cellStyle name="Title 12 2" xfId="7274" xr:uid="{6B867E81-3D5A-460E-9EB7-9E2D590CB43D}"/>
    <cellStyle name="Title 12 3" xfId="7275" xr:uid="{03A5A4B7-CB3D-4CF8-B5CA-89E3CC1D1AFD}"/>
    <cellStyle name="Title 12_Exist Trunk Assets - Ferry" xfId="9957" xr:uid="{6D32BA8E-7D5A-442F-8495-65FC73D2F899}"/>
    <cellStyle name="Title 13" xfId="1725" xr:uid="{A578A3C4-7C0F-4ACA-B857-4D54DA5D24E8}"/>
    <cellStyle name="Title 13 2" xfId="7276" xr:uid="{473F89EC-3327-48FC-AD0F-4C23B271BC53}"/>
    <cellStyle name="Title 13 3" xfId="7277" xr:uid="{95E02089-0888-49A6-8CFF-66E7D6F6DD7B}"/>
    <cellStyle name="Title 13_Exist Trunk Assets - Ferry" xfId="9958" xr:uid="{1520F246-AD6F-444C-AEA3-A6AD217E2D84}"/>
    <cellStyle name="Title 14" xfId="1726" xr:uid="{C42F8629-B27F-4A18-8BCB-C7760C2FE5DA}"/>
    <cellStyle name="Title 14 2" xfId="7278" xr:uid="{A4AA71F5-0B7A-4051-A4CE-27B14B58F4A1}"/>
    <cellStyle name="Title 14 3" xfId="7279" xr:uid="{B2B95189-D778-4CBE-BC7C-74ECF9BDD23E}"/>
    <cellStyle name="Title 14_Exist Trunk Assets - Ferry" xfId="9959" xr:uid="{2FDF3489-D991-4B6F-95EC-E54819CF1562}"/>
    <cellStyle name="Title 15" xfId="1727" xr:uid="{F4B8B91F-DD02-4DF9-91F4-7D64EA5FC73F}"/>
    <cellStyle name="Title 15 2" xfId="7280" xr:uid="{EB5F0138-014B-44E9-BA52-78B898049DD1}"/>
    <cellStyle name="Title 15 3" xfId="7281" xr:uid="{C69589B0-1CF4-44F7-830A-853E1122D179}"/>
    <cellStyle name="Title 15_Exist Trunk Assets - Ferry" xfId="9960" xr:uid="{F4D522EB-C5A9-4596-8621-A84993436985}"/>
    <cellStyle name="Title 16" xfId="1728" xr:uid="{B4F20A5F-0E6D-4590-8F39-8FDE62CD3DC5}"/>
    <cellStyle name="Title 16 2" xfId="7282" xr:uid="{30820198-C05C-492A-8632-865501442B5D}"/>
    <cellStyle name="Title 16 3" xfId="7283" xr:uid="{0D5BB3F0-4F8B-4C75-8747-D91D10D8D872}"/>
    <cellStyle name="Title 16_Exist Trunk Assets - Ferry" xfId="9961" xr:uid="{FEBA4484-DE51-48B5-9555-5BFCB02EE487}"/>
    <cellStyle name="Title 17" xfId="1729" xr:uid="{D133A862-8B67-4F9E-943F-7CE075E28F3A}"/>
    <cellStyle name="Title 17 2" xfId="7284" xr:uid="{202E60D6-A639-42AC-845B-8D79FEE3F672}"/>
    <cellStyle name="Title 17 3" xfId="7285" xr:uid="{ED17D1A3-D58E-4AB2-BDAD-6D5D6FC0B7B8}"/>
    <cellStyle name="Title 17_Exist Trunk Assets - Ferry" xfId="9962" xr:uid="{8192B876-46EE-49BD-B93B-1C73B5A74BF3}"/>
    <cellStyle name="Title 18" xfId="1730" xr:uid="{7FCD8215-99B7-49ED-95B8-92FC62D0F4A5}"/>
    <cellStyle name="Title 18 2" xfId="7286" xr:uid="{7A054874-6EF5-4F43-85A4-9858FF57BF33}"/>
    <cellStyle name="Title 18 3" xfId="7287" xr:uid="{97392E03-046F-4DB4-9ED8-7144532941E3}"/>
    <cellStyle name="Title 18_Exist Trunk Assets - Ferry" xfId="9963" xr:uid="{5AFFE790-CE18-4F05-9E1A-64D7127FDAB4}"/>
    <cellStyle name="Title 19" xfId="1731" xr:uid="{368D0E97-E63E-456F-90C6-1F65798DAB8B}"/>
    <cellStyle name="Title 19 2" xfId="7288" xr:uid="{05E2D554-FB87-4CB2-9068-95BF148C6098}"/>
    <cellStyle name="Title 19 3" xfId="7289" xr:uid="{10D83886-2DC1-4BB4-A56A-F89C8BF9FCC8}"/>
    <cellStyle name="Title 19_Exist Trunk Assets - Ferry" xfId="9964" xr:uid="{AD9D5CE0-8F9F-467A-9643-2BD356062FE9}"/>
    <cellStyle name="Title 2" xfId="1732" xr:uid="{8045E7B0-4DCA-4B82-A40A-A40A1F21C553}"/>
    <cellStyle name="Title 2 2" xfId="7290" xr:uid="{C7F8DD7C-5796-4245-BD9C-FB279DF99296}"/>
    <cellStyle name="Title 2 3" xfId="7291" xr:uid="{379AC5EC-78FD-4739-AA29-1AED6BECBFD4}"/>
    <cellStyle name="Title 2_Exist Trunk Assets - Ferry" xfId="9965" xr:uid="{4D566A0A-FDB5-43F8-98BA-F4186BA323CC}"/>
    <cellStyle name="Title 20" xfId="1733" xr:uid="{2881BF45-5B58-4EB0-A010-DD0140778B59}"/>
    <cellStyle name="Title 20 2" xfId="7292" xr:uid="{5C7AA2E3-17B7-40A4-B942-FA36DDAB9739}"/>
    <cellStyle name="Title 20 3" xfId="7293" xr:uid="{41A11E9C-6FD7-48E1-8D5C-EE432F3A45B6}"/>
    <cellStyle name="Title 20_Exist Trunk Assets - Ferry" xfId="9966" xr:uid="{CBB06248-FE60-4D00-A687-DC9641E271A2}"/>
    <cellStyle name="Title 21" xfId="1734" xr:uid="{357C856F-427C-48C3-B14F-2FAAA2506E56}"/>
    <cellStyle name="Title 21 2" xfId="7294" xr:uid="{5C684CAB-7BB0-4765-9F84-AEC7F45312A9}"/>
    <cellStyle name="Title 21 3" xfId="7295" xr:uid="{AA4A6DB3-DDE6-44A0-9E76-22E626EA1F2D}"/>
    <cellStyle name="Title 21_Exist Trunk Assets - Ferry" xfId="9967" xr:uid="{18C90B91-9D23-473F-8B45-29AB1E57551E}"/>
    <cellStyle name="Title 22" xfId="1735" xr:uid="{697A84DB-9118-4431-9D23-09CC5D21E28A}"/>
    <cellStyle name="Title 22 2" xfId="7296" xr:uid="{A2D06C42-AF28-4380-9235-3374E33F4AFC}"/>
    <cellStyle name="Title 22 3" xfId="7297" xr:uid="{18E67DFF-F3AB-4228-A0A0-055709FBB8A7}"/>
    <cellStyle name="Title 22_Exist Trunk Assets - Ferry" xfId="9968" xr:uid="{03009C1D-CB53-4FB9-AAB6-6213677E64D8}"/>
    <cellStyle name="Title 23" xfId="1736" xr:uid="{7B3A1291-9152-4D93-B48C-4D21506DDE8A}"/>
    <cellStyle name="Title 23 2" xfId="7298" xr:uid="{6852B3A0-C7A5-43C6-ACDD-BF02C5CD07E9}"/>
    <cellStyle name="Title 23 3" xfId="7299" xr:uid="{455E2AEC-6338-4BB4-BBFC-BCC3E74C40D5}"/>
    <cellStyle name="Title 23_Exist Trunk Assets - Ferry" xfId="9969" xr:uid="{58E184C6-B1ED-46A0-BECD-64639CC2BCD0}"/>
    <cellStyle name="Title 24" xfId="1737" xr:uid="{DD56562B-15A8-4EE1-9A0E-06D80E887F86}"/>
    <cellStyle name="Title 24 2" xfId="7300" xr:uid="{B41134CC-2FB3-4AB8-BF1C-46579491BC1F}"/>
    <cellStyle name="Title 24 3" xfId="7301" xr:uid="{D3305626-02A7-4BF7-BED7-B7386703A05A}"/>
    <cellStyle name="Title 24_Exist Trunk Assets - Ferry" xfId="9970" xr:uid="{8B811CEE-A583-446C-A73F-99CC2DF3E42F}"/>
    <cellStyle name="Title 25" xfId="1738" xr:uid="{48560AD5-C047-4D38-B363-1038937FB414}"/>
    <cellStyle name="Title 25 2" xfId="7302" xr:uid="{F53F0485-1FD0-42D7-AF1E-F0E679A3E29E}"/>
    <cellStyle name="Title 25 3" xfId="7303" xr:uid="{80C7C87E-3DBA-4226-95E6-B1D7AAD43764}"/>
    <cellStyle name="Title 25_Exist Trunk Assets - Ferry" xfId="9971" xr:uid="{DCD51795-AF32-4874-AE9C-40CA96A16A77}"/>
    <cellStyle name="Title 26" xfId="1739" xr:uid="{0F13D16C-7A43-4A22-B465-2826D8DE380F}"/>
    <cellStyle name="Title 26 2" xfId="7304" xr:uid="{D370E1C5-79E0-4BDC-8721-71E277C2080B}"/>
    <cellStyle name="Title 26 3" xfId="7305" xr:uid="{EC4D3A40-3412-4261-80FC-FB343CB8319C}"/>
    <cellStyle name="Title 26_Exist Trunk Assets - Ferry" xfId="9972" xr:uid="{CB24AC62-9165-4CFE-A38E-BA0EACF75601}"/>
    <cellStyle name="Title 27" xfId="1740" xr:uid="{78399BDC-5475-46BD-85D3-8173D5EC282A}"/>
    <cellStyle name="Title 27 2" xfId="7306" xr:uid="{BFCF00FE-ED0C-4565-A0B8-0F3EF4DE237C}"/>
    <cellStyle name="Title 27 3" xfId="7307" xr:uid="{C0D48FB0-9551-4EDC-A05B-5D86B7FD4364}"/>
    <cellStyle name="Title 27_Exist Trunk Assets - Ferry" xfId="9973" xr:uid="{D38735FA-7CE0-4A53-A37E-4835C7417906}"/>
    <cellStyle name="Title 28" xfId="1741" xr:uid="{3A35FE64-FA33-4136-9EBC-8D98C445DE3B}"/>
    <cellStyle name="Title 28 2" xfId="7308" xr:uid="{B326C181-E1C7-4445-B286-D91883013DE7}"/>
    <cellStyle name="Title 28 3" xfId="7309" xr:uid="{75DEC5F6-4866-4ABF-B93F-F388B8A7F508}"/>
    <cellStyle name="Title 28_Exist Trunk Assets - Ferry" xfId="9974" xr:uid="{F241DD74-C7D9-4365-944C-2D1C6E94AEC7}"/>
    <cellStyle name="Title 29" xfId="1742" xr:uid="{D880F131-B1E3-4A2D-B1AA-6526F34DE6E9}"/>
    <cellStyle name="Title 29 2" xfId="7310" xr:uid="{6670B478-B79B-4B2A-8226-A4834B736B98}"/>
    <cellStyle name="Title 29 3" xfId="7311" xr:uid="{C97E1494-4FFD-4494-9E11-A02B158E5C8A}"/>
    <cellStyle name="Title 29_Exist Trunk Assets - Ferry" xfId="9975" xr:uid="{B1DF5163-DCA0-454F-ADC3-3F2EE8FF2A0A}"/>
    <cellStyle name="Title 3" xfId="1743" xr:uid="{1856D5A8-C776-4972-BC59-09241A5452B8}"/>
    <cellStyle name="Title 3 2" xfId="7312" xr:uid="{BEA2C498-18F1-4ADA-97BE-68CDEDAAF721}"/>
    <cellStyle name="Title 3 3" xfId="7313" xr:uid="{A130B542-E64B-4E6D-AC68-D96E1F009A54}"/>
    <cellStyle name="Title 3_Exist Trunk Assets - Ferry" xfId="9976" xr:uid="{67E27794-D16F-43E6-8EA1-A7290B5E06B5}"/>
    <cellStyle name="Title 30" xfId="1744" xr:uid="{C6849AEA-3C68-4A87-B54C-F067D09DC5C9}"/>
    <cellStyle name="Title 30 2" xfId="7314" xr:uid="{07D8F7EB-9436-49CF-8F7C-5B705602482B}"/>
    <cellStyle name="Title 30 3" xfId="7315" xr:uid="{27D8CFC3-9FB5-490C-8D86-7DB3DCB635A9}"/>
    <cellStyle name="Title 30_Exist Trunk Assets - Ferry" xfId="9977" xr:uid="{5873082B-6A27-470C-98A1-64F2A47B6576}"/>
    <cellStyle name="Title 31" xfId="1745" xr:uid="{3C06316A-E6C0-4E3E-A216-F50B729C59C2}"/>
    <cellStyle name="Title 31 2" xfId="7316" xr:uid="{55C24175-00F5-47BE-8E8D-517DE093FC94}"/>
    <cellStyle name="Title 31 3" xfId="7317" xr:uid="{6CAAB9CC-066D-4BD6-8975-CB68BFE246B5}"/>
    <cellStyle name="Title 31_Exist Trunk Assets - Ferry" xfId="9978" xr:uid="{90B0BADF-4F95-419D-B869-0C022195B1B5}"/>
    <cellStyle name="Title 32" xfId="1746" xr:uid="{B9558009-46DD-421B-B159-A9E751267962}"/>
    <cellStyle name="Title 32 2" xfId="7318" xr:uid="{25695683-8F34-4D40-98BB-BBA3C6CAA53C}"/>
    <cellStyle name="Title 32 3" xfId="7319" xr:uid="{B9F31198-275F-4FDD-BC7E-C806C7F30D37}"/>
    <cellStyle name="Title 32_Exist Trunk Assets - Ferry" xfId="9979" xr:uid="{6F4D89D4-8B72-4AC7-BF09-6685AC6065F2}"/>
    <cellStyle name="Title 33" xfId="1747" xr:uid="{5E9DC328-0356-4A58-B65D-F5D8128F02AC}"/>
    <cellStyle name="Title 33 2" xfId="7320" xr:uid="{EBCC8479-2FE7-446C-B3D2-96D0C88249D8}"/>
    <cellStyle name="Title 33 3" xfId="7321" xr:uid="{55191309-A3BF-4171-9866-BB3DB570C4C2}"/>
    <cellStyle name="Title 33_Exist Trunk Assets - Ferry" xfId="9980" xr:uid="{1CB8C2C2-913B-41BC-8284-0080B23664E7}"/>
    <cellStyle name="Title 34" xfId="1748" xr:uid="{3140FC60-6AFC-409D-AE35-CC0299FCE4AA}"/>
    <cellStyle name="Title 34 2" xfId="7322" xr:uid="{C72B63F0-98D3-4754-8C50-BC61785C2012}"/>
    <cellStyle name="Title 34 3" xfId="7323" xr:uid="{09825155-B84C-4803-8BD0-6F236F958C05}"/>
    <cellStyle name="Title 34_Exist Trunk Assets - Ferry" xfId="9981" xr:uid="{81012FCA-C542-47F7-8B54-4CE66B4B773F}"/>
    <cellStyle name="Title 35" xfId="1749" xr:uid="{C4D7FEE2-A357-4457-9140-B426D1BA0007}"/>
    <cellStyle name="Title 35 2" xfId="7324" xr:uid="{E60D1602-C49B-4D8A-A218-1B2AECA89B82}"/>
    <cellStyle name="Title 35 3" xfId="7325" xr:uid="{7182F1B9-AFE5-4B4C-A71F-7919BBFAA56B}"/>
    <cellStyle name="Title 35_Exist Trunk Assets - Ferry" xfId="9982" xr:uid="{20AC5AB3-BC9E-4953-8950-913389947661}"/>
    <cellStyle name="Title 36" xfId="1750" xr:uid="{7FD63C66-7CB8-41C6-95DB-2028224AAF7B}"/>
    <cellStyle name="Title 36 2" xfId="7326" xr:uid="{ABDACF41-B330-49DC-991F-8630DCCB6361}"/>
    <cellStyle name="Title 36 3" xfId="7327" xr:uid="{55F2FA85-524B-48E5-9C1A-C5F024E5A8B3}"/>
    <cellStyle name="Title 36_Exist Trunk Assets - Ferry" xfId="9983" xr:uid="{C992D896-4C38-447C-8A11-DB45DE23F15C}"/>
    <cellStyle name="Title 37" xfId="1751" xr:uid="{4D2A0E69-35ED-45DF-BCD1-A0DF3BF724A9}"/>
    <cellStyle name="Title 37 2" xfId="7328" xr:uid="{79112CD6-220B-4674-AA13-D93358DBD461}"/>
    <cellStyle name="Title 37 3" xfId="7329" xr:uid="{4DF7EDCC-82EA-40BE-99A1-9C7D6F6C8026}"/>
    <cellStyle name="Title 37_Exist Trunk Assets - Ferry" xfId="9984" xr:uid="{38252252-1169-4B8B-A1E6-77FC7869E7F8}"/>
    <cellStyle name="Title 4" xfId="1752" xr:uid="{E45F1CC1-9706-4900-8F51-3E6C956C72F0}"/>
    <cellStyle name="Title 4 2" xfId="7330" xr:uid="{4ADDC1E7-B3FF-492D-BB75-C5646FE07FE4}"/>
    <cellStyle name="Title 4 3" xfId="7331" xr:uid="{80362C0F-F843-4312-A9B0-5CAD7DC3A5DA}"/>
    <cellStyle name="Title 4_Exist Trunk Assets - Ferry" xfId="9985" xr:uid="{64E458C1-2A4A-4D30-B211-15ED081B8521}"/>
    <cellStyle name="Title 5" xfId="1753" xr:uid="{CFC747C5-21FC-4FDF-B1D8-F05CEC75D3A5}"/>
    <cellStyle name="Title 5 2" xfId="7332" xr:uid="{C7C8BC2A-2FD7-4616-AC40-8F3017256E47}"/>
    <cellStyle name="Title 5 3" xfId="7333" xr:uid="{108FC694-99CC-4B53-BD72-084091A28EB0}"/>
    <cellStyle name="Title 5_Exist Trunk Assets - Ferry" xfId="9986" xr:uid="{12737CD9-9374-484A-95F9-2924CBCBDF01}"/>
    <cellStyle name="Title 6" xfId="1754" xr:uid="{1215FD28-48F9-4334-AFD0-41EACA0D4F7D}"/>
    <cellStyle name="Title 6 2" xfId="7334" xr:uid="{AE861A26-19C5-4B71-8B76-0835FAC87D9D}"/>
    <cellStyle name="Title 6 3" xfId="7335" xr:uid="{F942F608-A19E-4512-91C7-1A7DC5F7E48F}"/>
    <cellStyle name="Title 6_Exist Trunk Assets - Ferry" xfId="9987" xr:uid="{0A1411A3-5387-41D2-AAF7-FB6B305E60E5}"/>
    <cellStyle name="Title 7" xfId="1755" xr:uid="{798EE92E-50C4-46F7-BACA-A56E7E47E1E5}"/>
    <cellStyle name="Title 7 2" xfId="7336" xr:uid="{2259AE6F-5816-44E3-923C-950AD61CBAB2}"/>
    <cellStyle name="Title 7 3" xfId="7337" xr:uid="{275259AA-9E66-4ADB-934C-78BCF0BFEEE4}"/>
    <cellStyle name="Title 7_Exist Trunk Assets - Ferry" xfId="9988" xr:uid="{91D134AB-5EC5-40BD-8774-14BC8C91C22E}"/>
    <cellStyle name="Title 8" xfId="1756" xr:uid="{4E63A716-80C4-42B3-A9AC-F2B917B29B60}"/>
    <cellStyle name="Title 8 2" xfId="7338" xr:uid="{F770E66D-F3B1-4925-B372-8079C7083AD9}"/>
    <cellStyle name="Title 8 3" xfId="7339" xr:uid="{1EF8466B-7E53-451F-B768-E5A9E0E54765}"/>
    <cellStyle name="Title 8_Exist Trunk Assets - Ferry" xfId="9989" xr:uid="{8878DC39-23E0-4E38-A905-77C7EFB08C79}"/>
    <cellStyle name="Title 9" xfId="1757" xr:uid="{693F2666-7E07-46F4-9722-1BE1CF912707}"/>
    <cellStyle name="Title 9 2" xfId="7340" xr:uid="{F224FADF-D52A-4777-BA6B-77509EB8731B}"/>
    <cellStyle name="Title 9 3" xfId="7341" xr:uid="{A1476F7B-0CD3-457C-A458-D6FA40288A66}"/>
    <cellStyle name="Title 9_Exist Trunk Assets - Ferry" xfId="9990" xr:uid="{8DAB6010-606C-4BDF-94B9-918731646A7C}"/>
    <cellStyle name="Total 10" xfId="1758" xr:uid="{A526F0C3-2248-48BB-8389-B34E7CCD0861}"/>
    <cellStyle name="Total 10 2" xfId="7342" xr:uid="{8FDC1711-6D2A-4531-8117-FEA0F5FF9C36}"/>
    <cellStyle name="Total 10 3" xfId="7343" xr:uid="{152BD77A-A66A-4D2E-AA38-E1C124C62802}"/>
    <cellStyle name="Total 10_Exist Trunk Assets - Ferry" xfId="9991" xr:uid="{BCEE90E6-AC0E-439B-95C0-BC748556BFE0}"/>
    <cellStyle name="Total 11" xfId="1759" xr:uid="{C9D67FA2-2388-4F3D-8D80-3305B3C4D0C9}"/>
    <cellStyle name="Total 11 2" xfId="7344" xr:uid="{EBA912AE-80C4-4875-8C36-DF1D08A55D64}"/>
    <cellStyle name="Total 11 3" xfId="7345" xr:uid="{438772C8-B085-4388-A776-3B0F5A39CB2E}"/>
    <cellStyle name="Total 11_Exist Trunk Assets - Ferry" xfId="9992" xr:uid="{9DB6498C-3B97-458C-8A1E-5FEB155436AA}"/>
    <cellStyle name="Total 12" xfId="1760" xr:uid="{35C64E8E-6C1F-40FC-905A-5BE2C1EB4E5D}"/>
    <cellStyle name="Total 12 2" xfId="7346" xr:uid="{39A3D5F6-A100-45EA-92FD-C4D05E5463C9}"/>
    <cellStyle name="Total 12 3" xfId="7347" xr:uid="{F56BCD9F-AB5F-4C64-B27C-D595ECA4EFE2}"/>
    <cellStyle name="Total 12_Exist Trunk Assets - Ferry" xfId="9993" xr:uid="{F7307442-F21B-4E32-AA1A-609197D7E401}"/>
    <cellStyle name="Total 13" xfId="1761" xr:uid="{3818B779-5CD8-41C4-AD1A-2063AB6E8132}"/>
    <cellStyle name="Total 13 2" xfId="7348" xr:uid="{29E51799-5FB2-42A6-B097-BA36FD65E1A0}"/>
    <cellStyle name="Total 13 3" xfId="7349" xr:uid="{1EEB7DB5-F313-4B86-9F4B-5ABF65D89DE9}"/>
    <cellStyle name="Total 13_Exist Trunk Assets - Ferry" xfId="9994" xr:uid="{3F8A63F0-91AC-4360-A81D-EA8333789464}"/>
    <cellStyle name="Total 14" xfId="1762" xr:uid="{C1675E85-B189-480A-8F22-2BF23CC87795}"/>
    <cellStyle name="Total 14 2" xfId="7350" xr:uid="{189A5696-F359-43F0-A1BB-9DA2F515BB66}"/>
    <cellStyle name="Total 14 3" xfId="7351" xr:uid="{00044F0F-6E66-499C-9533-98298B0F243E}"/>
    <cellStyle name="Total 14_Exist Trunk Assets - Ferry" xfId="9995" xr:uid="{7082E85A-1ABF-4928-93AB-1BB4F4C7D445}"/>
    <cellStyle name="Total 15" xfId="1763" xr:uid="{106F5496-DF4E-4988-9C54-2C8D2D7C6867}"/>
    <cellStyle name="Total 15 2" xfId="7352" xr:uid="{B87A2DA3-4B52-4F44-961C-D81B16E6D618}"/>
    <cellStyle name="Total 15 3" xfId="7353" xr:uid="{A71E3C9D-6259-476D-B949-00F33706CC6D}"/>
    <cellStyle name="Total 15_Exist Trunk Assets - Ferry" xfId="9996" xr:uid="{723F2114-AC06-4599-B22D-68CF08633B5D}"/>
    <cellStyle name="Total 16" xfId="1764" xr:uid="{D78B5168-5DC3-4EBD-97E0-BC22D767207D}"/>
    <cellStyle name="Total 16 2" xfId="7354" xr:uid="{511CFDA5-C329-402B-B40F-902445EE99D9}"/>
    <cellStyle name="Total 16 3" xfId="7355" xr:uid="{2D2E4E88-14F0-4E2D-BDF7-3005E0C7B813}"/>
    <cellStyle name="Total 16_Exist Trunk Assets - Ferry" xfId="9997" xr:uid="{C5F2A4CB-AE2D-44E3-9C4B-0AEA11EA3608}"/>
    <cellStyle name="Total 17" xfId="1765" xr:uid="{494D3D62-BA48-45BF-BBDE-194C6B0F8662}"/>
    <cellStyle name="Total 17 2" xfId="7356" xr:uid="{8FA250DF-3B7A-488B-892C-EA464B7FCCDF}"/>
    <cellStyle name="Total 17 3" xfId="7357" xr:uid="{608B7613-132E-4186-9F9A-494D76B0256E}"/>
    <cellStyle name="Total 17_Exist Trunk Assets - Ferry" xfId="9998" xr:uid="{019A87B5-8AB8-493D-BB61-D7E5356AE2C0}"/>
    <cellStyle name="Total 18" xfId="1766" xr:uid="{00BA378A-139E-4B6A-BA33-9AB81512A96F}"/>
    <cellStyle name="Total 18 2" xfId="7358" xr:uid="{3FCDE10C-DA7F-4933-B7C5-FFDB77873FB8}"/>
    <cellStyle name="Total 18 3" xfId="7359" xr:uid="{3E918A98-75B6-4504-9B7F-DB80005F957F}"/>
    <cellStyle name="Total 18_Exist Trunk Assets - Ferry" xfId="9999" xr:uid="{5A5C6FC6-2BE7-431A-BDA1-10F579421E1F}"/>
    <cellStyle name="Total 19" xfId="1767" xr:uid="{747FAF07-8D6B-4EE4-A527-BFA32B5EFE1C}"/>
    <cellStyle name="Total 19 2" xfId="7360" xr:uid="{6F4C6927-F106-4AFC-9026-9FF2519C2D3E}"/>
    <cellStyle name="Total 19 3" xfId="7361" xr:uid="{58E773F6-7210-43BB-94E0-C21F5DAA1556}"/>
    <cellStyle name="Total 19_Exist Trunk Assets - Ferry" xfId="10000" xr:uid="{DD124DD4-5E83-4325-AA40-2843AEA59703}"/>
    <cellStyle name="Total 2" xfId="1768" xr:uid="{3D48423F-4CC3-4CB1-A7B3-460D94478393}"/>
    <cellStyle name="Total 2 2" xfId="7362" xr:uid="{B8F96805-BA75-496B-99E3-269585969902}"/>
    <cellStyle name="Total 2 3" xfId="7363" xr:uid="{AD21D6AF-3031-4182-B2D2-7F20951F1481}"/>
    <cellStyle name="Total 2_Exist Trunk Assets - Ferry" xfId="10001" xr:uid="{8C9530FD-F4C9-4613-9ACE-1066F10649C9}"/>
    <cellStyle name="Total 20" xfId="1769" xr:uid="{5D9E3ADD-1AE0-4DED-BC35-066C8E242B56}"/>
    <cellStyle name="Total 20 2" xfId="7364" xr:uid="{E54E26ED-269F-4C6C-AF4D-FD1102C9824C}"/>
    <cellStyle name="Total 20 3" xfId="7365" xr:uid="{7FAD858A-F43A-4DB6-A54B-FD3CDFAFFB6F}"/>
    <cellStyle name="Total 20_Exist Trunk Assets - Ferry" xfId="10002" xr:uid="{652BF971-4E9B-4147-8944-D8337BAAD335}"/>
    <cellStyle name="Total 21" xfId="1770" xr:uid="{0F93640E-809D-45B5-8C14-B36BAB71F8C3}"/>
    <cellStyle name="Total 21 2" xfId="7366" xr:uid="{78F05FDB-8A24-4E5A-953E-731918A03FF4}"/>
    <cellStyle name="Total 21 3" xfId="7367" xr:uid="{EF3CF3CD-09FA-46B7-9665-5E50C505C598}"/>
    <cellStyle name="Total 21_Exist Trunk Assets - Ferry" xfId="10003" xr:uid="{07A92E36-E1D8-48DA-BE5E-E29C9E87BD79}"/>
    <cellStyle name="Total 22" xfId="1771" xr:uid="{B26C7F43-BB36-4EE6-BFEE-E7F761E70FBE}"/>
    <cellStyle name="Total 22 2" xfId="7368" xr:uid="{62B2A1F1-2694-4BED-B911-7D4789D1384B}"/>
    <cellStyle name="Total 22 3" xfId="7369" xr:uid="{736730B6-ADAB-4F6A-B698-2D8275EBED4A}"/>
    <cellStyle name="Total 22_Exist Trunk Assets - Ferry" xfId="10004" xr:uid="{D66D0E9B-1AF8-47EC-9FB8-618CE4FBCDC9}"/>
    <cellStyle name="Total 23" xfId="1772" xr:uid="{0BA8CB7B-508D-47B9-9076-71E463563F31}"/>
    <cellStyle name="Total 23 2" xfId="7370" xr:uid="{418F81CC-FD5E-45ED-A6AA-C32614D8C3CD}"/>
    <cellStyle name="Total 23 3" xfId="7371" xr:uid="{A1C461D2-5386-461E-B227-510C36ECDAC8}"/>
    <cellStyle name="Total 23_Exist Trunk Assets - Ferry" xfId="10005" xr:uid="{A6A27940-76D3-403D-A2D6-06EBF2FED4B0}"/>
    <cellStyle name="Total 24" xfId="1773" xr:uid="{FCBE2AEB-7EBF-413C-A5F3-AB8C9CC751BF}"/>
    <cellStyle name="Total 24 2" xfId="7372" xr:uid="{596DBF38-8578-47C6-A99F-ED57A134F38C}"/>
    <cellStyle name="Total 24 3" xfId="7373" xr:uid="{4F19E6AF-1836-445C-84C4-B614579B8305}"/>
    <cellStyle name="Total 24_Exist Trunk Assets - Ferry" xfId="10006" xr:uid="{9DE9F621-1621-4819-89E2-92643EBA6AD5}"/>
    <cellStyle name="Total 25" xfId="1774" xr:uid="{B974B12B-46C7-4399-8B16-94373816043F}"/>
    <cellStyle name="Total 25 2" xfId="7374" xr:uid="{99C4178E-30AE-4DA9-97BC-D5543450B878}"/>
    <cellStyle name="Total 25 3" xfId="7375" xr:uid="{F7579A0F-B5BF-4D90-907C-E741E910BAC0}"/>
    <cellStyle name="Total 25_Exist Trunk Assets - Ferry" xfId="10007" xr:uid="{3AFE985E-AD43-4C52-AA92-0A0F6E3D49B7}"/>
    <cellStyle name="Total 26" xfId="1775" xr:uid="{FA20BFAB-EEEA-4E14-B189-A0ABB7555C67}"/>
    <cellStyle name="Total 26 2" xfId="7376" xr:uid="{A4605F61-6914-462C-A0C6-8ACFA5CAB033}"/>
    <cellStyle name="Total 26 3" xfId="7377" xr:uid="{9468EDBD-F0F4-4353-B4CE-6948D474D7EC}"/>
    <cellStyle name="Total 26_Exist Trunk Assets - Ferry" xfId="10008" xr:uid="{2EB1BC6F-F5FE-4946-BA68-03D6F4EF240F}"/>
    <cellStyle name="Total 27" xfId="1776" xr:uid="{0797CE96-9277-442A-9EFF-B61259B47F00}"/>
    <cellStyle name="Total 27 2" xfId="7378" xr:uid="{E7A6E5F3-5FF6-4FEE-A5E4-B292444F1320}"/>
    <cellStyle name="Total 27 3" xfId="7379" xr:uid="{9A434A13-0D7C-4DAD-8688-D9804E874AB6}"/>
    <cellStyle name="Total 27_Exist Trunk Assets - Ferry" xfId="10009" xr:uid="{A4C7B6CA-894D-4716-8020-E2233C7B36EE}"/>
    <cellStyle name="Total 28" xfId="1777" xr:uid="{B8D1BF2F-A619-455E-9956-D690682905B9}"/>
    <cellStyle name="Total 28 2" xfId="7380" xr:uid="{48CCCEAE-3F03-498D-8A2B-8614E51C88FD}"/>
    <cellStyle name="Total 28 3" xfId="7381" xr:uid="{5796D498-54DA-413F-945D-352828B8590D}"/>
    <cellStyle name="Total 28_Exist Trunk Assets - Ferry" xfId="10010" xr:uid="{F9400A36-6776-435F-9B6C-871B2A592F19}"/>
    <cellStyle name="Total 29" xfId="1778" xr:uid="{5B3172A8-9CA7-4C96-810D-9B3230D6F388}"/>
    <cellStyle name="Total 29 2" xfId="7382" xr:uid="{6B08CD6A-3A29-444B-814A-B7C6E9FE8AAA}"/>
    <cellStyle name="Total 29 3" xfId="7383" xr:uid="{5DAB0FFA-ADFC-4635-8D30-12B50191D1B1}"/>
    <cellStyle name="Total 29_Exist Trunk Assets - Ferry" xfId="10011" xr:uid="{7993219F-ED86-4FEA-9CA9-844D1FB40D8B}"/>
    <cellStyle name="Total 3" xfId="1779" xr:uid="{7452ACCD-7B0A-49F8-B649-EAB4B2CF582C}"/>
    <cellStyle name="Total 3 2" xfId="7384" xr:uid="{9D7D2E2E-DF67-4A8E-AD7C-235089F72F97}"/>
    <cellStyle name="Total 3 3" xfId="7385" xr:uid="{98D85CC1-4FB1-4191-B0E6-4D50797B2B14}"/>
    <cellStyle name="Total 3_Exist Trunk Assets - Ferry" xfId="10012" xr:uid="{B2B57299-97E4-4420-98B1-3C9296B94E8B}"/>
    <cellStyle name="Total 30" xfId="1780" xr:uid="{FBA45BDE-4831-4ACC-AB68-43DD500AE622}"/>
    <cellStyle name="Total 30 2" xfId="7386" xr:uid="{F0FF84A7-D7CF-4A9E-8A85-CC3F4E62CEDA}"/>
    <cellStyle name="Total 30 3" xfId="7387" xr:uid="{BE2E9525-6CD6-467F-A184-319429171DB2}"/>
    <cellStyle name="Total 30_Exist Trunk Assets - Ferry" xfId="10013" xr:uid="{4C103014-3A8F-42A4-AF2F-40DD43C608FA}"/>
    <cellStyle name="Total 31" xfId="1781" xr:uid="{0C5E0F53-FE84-4075-91E6-4FB4DFC29888}"/>
    <cellStyle name="Total 31 2" xfId="7388" xr:uid="{3BA5A307-06D1-4430-B5FF-1D849D8C4D7D}"/>
    <cellStyle name="Total 31 3" xfId="7389" xr:uid="{751E4718-A072-4311-8440-69A9C5658092}"/>
    <cellStyle name="Total 31_Exist Trunk Assets - Ferry" xfId="10014" xr:uid="{7BFFEEA0-7D45-40FC-A904-78405AB9C6E0}"/>
    <cellStyle name="Total 32" xfId="1782" xr:uid="{B65E2D09-A377-433B-B438-3A1B90723372}"/>
    <cellStyle name="Total 32 2" xfId="7390" xr:uid="{796C1D9D-F638-413E-9E5E-61979AFEDD2A}"/>
    <cellStyle name="Total 32 3" xfId="7391" xr:uid="{BFE41F91-1427-4EE5-A08E-86A63D0F541C}"/>
    <cellStyle name="Total 32_Exist Trunk Assets - Ferry" xfId="10015" xr:uid="{3172C112-C4DE-490E-B1A6-4758E43BCD74}"/>
    <cellStyle name="Total 33" xfId="1783" xr:uid="{8E4D9918-EF67-40FC-8E61-4A9B6E58E59C}"/>
    <cellStyle name="Total 33 2" xfId="7392" xr:uid="{A23BD4EA-21F5-44F8-A2A3-B37E10BB1069}"/>
    <cellStyle name="Total 33 3" xfId="7393" xr:uid="{78B0FCB5-84F4-4A00-AD75-9224011D606C}"/>
    <cellStyle name="Total 33_Exist Trunk Assets - Ferry" xfId="10016" xr:uid="{D4B67680-7D5B-4B3A-84DC-0CBFBD258FA8}"/>
    <cellStyle name="Total 34" xfId="1784" xr:uid="{8CB505D2-C87C-4406-BACA-766319D93DED}"/>
    <cellStyle name="Total 34 2" xfId="7394" xr:uid="{A058712E-2BC8-4366-8E00-C5AA0D8FDB10}"/>
    <cellStyle name="Total 34 3" xfId="7395" xr:uid="{AAD3E03E-FC3B-48E2-8A0C-AA43033CEE7D}"/>
    <cellStyle name="Total 34_Exist Trunk Assets - Ferry" xfId="10017" xr:uid="{D17CFD87-95C6-433B-BEAE-EDDC00495445}"/>
    <cellStyle name="Total 35" xfId="1785" xr:uid="{C53E7F6E-A276-48FA-AE2A-F68F391A1593}"/>
    <cellStyle name="Total 35 2" xfId="7396" xr:uid="{18AC4C16-F95B-4375-B996-06A5AE276B23}"/>
    <cellStyle name="Total 35 3" xfId="7397" xr:uid="{9E33BEF3-F85C-4CC5-9401-3F13688D7BBD}"/>
    <cellStyle name="Total 35_Exist Trunk Assets - Ferry" xfId="10018" xr:uid="{38B04AEE-28AD-4390-9E45-A40F4CCAC6CD}"/>
    <cellStyle name="Total 36" xfId="1786" xr:uid="{1DDCDE14-3E29-4D8A-9CA6-2092A250CBE1}"/>
    <cellStyle name="Total 36 2" xfId="7398" xr:uid="{5C967807-9609-4F21-BD05-92BBEBB62105}"/>
    <cellStyle name="Total 36 3" xfId="7399" xr:uid="{BF6F8424-E87F-4EBE-A161-849AE6BAF93A}"/>
    <cellStyle name="Total 36_Exist Trunk Assets - Ferry" xfId="10019" xr:uid="{F7A5F378-1546-405A-9649-2FF2C17B73F2}"/>
    <cellStyle name="Total 37" xfId="1787" xr:uid="{F88F1DF8-72E3-4E5D-9A64-618423F7B2FA}"/>
    <cellStyle name="Total 37 2" xfId="7400" xr:uid="{907F51C8-0469-4766-8DB0-4E15E9BDF4B3}"/>
    <cellStyle name="Total 37 3" xfId="7401" xr:uid="{D4906377-B1D3-4D9B-AE31-1CB7773407EB}"/>
    <cellStyle name="Total 37_Exist Trunk Assets - Ferry" xfId="10020" xr:uid="{193CDA08-EDE5-4AB0-9100-23A5713AB42D}"/>
    <cellStyle name="Total 4" xfId="1788" xr:uid="{42B855FB-4553-4C3E-BCAC-A60D2441A1BC}"/>
    <cellStyle name="Total 4 2" xfId="7402" xr:uid="{010DE305-88E6-475D-B92D-EF412EB890D5}"/>
    <cellStyle name="Total 4 3" xfId="7403" xr:uid="{B6A8C422-07B7-4E72-995C-6974E5C80B44}"/>
    <cellStyle name="Total 4_Exist Trunk Assets - Ferry" xfId="10021" xr:uid="{2D7E0ACA-93E2-4B0B-9605-004A6F14655E}"/>
    <cellStyle name="Total 5" xfId="1789" xr:uid="{16E42D47-F444-4997-BEE2-6F1F3BFEB725}"/>
    <cellStyle name="Total 5 2" xfId="7404" xr:uid="{0D14A43C-2EFF-4D55-8F43-6318A1292684}"/>
    <cellStyle name="Total 5 3" xfId="7405" xr:uid="{A247ED88-8068-4800-8DCF-B5FE61C8BF0B}"/>
    <cellStyle name="Total 5_Exist Trunk Assets - Ferry" xfId="10022" xr:uid="{0DFC0304-59CD-4938-A003-D725BE3F03C3}"/>
    <cellStyle name="Total 6" xfId="1790" xr:uid="{D130C28E-66C3-4789-B24D-BE004BC111E4}"/>
    <cellStyle name="Total 6 2" xfId="7406" xr:uid="{AF38A2B7-8857-49D3-927D-C9A88A7FF324}"/>
    <cellStyle name="Total 6 3" xfId="7407" xr:uid="{59993D34-2294-4D8B-981C-F5FF395E9C73}"/>
    <cellStyle name="Total 6_Exist Trunk Assets - Ferry" xfId="10023" xr:uid="{FE662B99-BE9B-49B6-8E72-32C0F8C87D52}"/>
    <cellStyle name="Total 7" xfId="1791" xr:uid="{2CEA1CDB-421E-41DC-A59F-F0AB58471EF5}"/>
    <cellStyle name="Total 7 2" xfId="7408" xr:uid="{B8FE8E90-F019-4D2F-A3FF-20B9331695F5}"/>
    <cellStyle name="Total 7 3" xfId="7409" xr:uid="{5862431B-2A83-440F-92AE-74ECC8011C9D}"/>
    <cellStyle name="Total 7_Exist Trunk Assets - Ferry" xfId="10024" xr:uid="{7C99FFCB-EF43-47D5-B30C-C223B268790C}"/>
    <cellStyle name="Total 8" xfId="1792" xr:uid="{5A68A13A-B883-44F9-8E16-AA1107245419}"/>
    <cellStyle name="Total 8 2" xfId="7410" xr:uid="{90F27DD9-4F98-4ECB-AD7F-D686E72C4B3D}"/>
    <cellStyle name="Total 8 3" xfId="7411" xr:uid="{8393F709-C4B0-41B3-A67C-3F423E502FC1}"/>
    <cellStyle name="Total 8_Exist Trunk Assets - Ferry" xfId="10025" xr:uid="{EB629C9D-BE4C-4387-BE27-AFFC1DD13F91}"/>
    <cellStyle name="Total 9" xfId="1793" xr:uid="{B585ECA6-F0E9-4753-9DF1-7712A03249E6}"/>
    <cellStyle name="Total 9 2" xfId="7412" xr:uid="{C34C6FDE-D946-4A2D-8C23-62CE733968A8}"/>
    <cellStyle name="Total 9 3" xfId="7413" xr:uid="{02396606-0D05-4589-814A-69CF22D94D2D}"/>
    <cellStyle name="Total 9_Exist Trunk Assets - Ferry" xfId="10026" xr:uid="{368B307C-CD55-441E-90DC-287E1C05F507}"/>
    <cellStyle name="Unchecked" xfId="2309" xr:uid="{D093AA95-58DB-4078-AF2D-91C6D0256AAE}"/>
    <cellStyle name="Unchecked 2" xfId="7414" xr:uid="{43BDAFE8-DE86-4ECB-8665-DB1826088AA0}"/>
    <cellStyle name="Unchecked 3" xfId="7415" xr:uid="{AA475500-223E-4A2F-9B02-6897D3A6BB8D}"/>
    <cellStyle name="Unchecked_Exist Trunk Assets - Ferry" xfId="10027" xr:uid="{E44A6A7E-0901-4BB5-A0E7-79B6BEDC0F8A}"/>
    <cellStyle name="Units" xfId="2310" xr:uid="{1C3AC725-ED33-4C39-8A21-7B0D656A2E3E}"/>
    <cellStyle name="Units 2" xfId="7416" xr:uid="{FF91CF69-9B8F-4067-94D3-342F6109B0D8}"/>
    <cellStyle name="Units 3" xfId="7417" xr:uid="{06F1B487-65DE-474C-BF7E-B0CA19387CAC}"/>
    <cellStyle name="Units of Measure" xfId="2311" xr:uid="{8B11B7EC-B981-4E3D-B09C-4FBF95D1A694}"/>
    <cellStyle name="Units of Measure 2" xfId="7418" xr:uid="{9C566EC0-B4AE-408A-B7B7-2FF01EBF8177}"/>
    <cellStyle name="Units of Measure 3" xfId="7419" xr:uid="{9271158E-A8D3-4662-AE80-58C3C1CD9C9B}"/>
    <cellStyle name="Units of Measure 3 2" xfId="7809" xr:uid="{39E7BC6F-E48A-4ADC-846F-F97841AF01C4}"/>
    <cellStyle name="Units of Measure 3 3" xfId="8124" xr:uid="{7D51141C-3B58-44ED-BE7A-4CE156893C98}"/>
    <cellStyle name="Units of Measure 3_Exist Trunk Assets - Ferry" xfId="10030" xr:uid="{863494AC-1781-405E-9C64-4CDF0CB19CEF}"/>
    <cellStyle name="Units of Measure 4" xfId="7547" xr:uid="{FC937CD8-4480-4B8E-9FA7-94778DB62159}"/>
    <cellStyle name="Units of Measure 5" xfId="7862" xr:uid="{3F767AD8-FEE9-43D7-A9AB-2DE393F8994D}"/>
    <cellStyle name="Units of Measure_Exist Trunk Assets - Ferry" xfId="10029" xr:uid="{C0F713A5-3ACD-4F37-82BD-9C0A176F9AC8}"/>
    <cellStyle name="Units_Exist Trunk Assets - Ferry" xfId="10028" xr:uid="{9FB37744-75F8-449A-B121-BA3A09C3AACA}"/>
    <cellStyle name="Velký nadpis" xfId="2312" xr:uid="{08BE50F6-ABCB-4502-A34F-5DACA388A2BF}"/>
    <cellStyle name="Velký nadpis 2" xfId="7420" xr:uid="{54E6CC67-71CB-41AC-9841-BACF5BC0C6F7}"/>
    <cellStyle name="Velký nadpis 3" xfId="7421" xr:uid="{195CBE21-6470-41C8-8DFC-8358BC7DB6CA}"/>
    <cellStyle name="Velký nadpis_Exist Trunk Assets - Ferry" xfId="10031" xr:uid="{F7EAAE3D-0CC5-4C90-8467-9B47E40B5457}"/>
    <cellStyle name="Währung [0]_PERSON2" xfId="2313" xr:uid="{0922DC18-2514-4F12-A4D0-647E31795DA0}"/>
    <cellStyle name="Währung_PERSON2" xfId="2314" xr:uid="{ACB8B74E-F22D-4A2F-A8E4-299ACE196614}"/>
    <cellStyle name="Warning Text 10" xfId="1794" xr:uid="{65B7A424-463F-48E5-AC65-845DD9842DD7}"/>
    <cellStyle name="Warning Text 10 2" xfId="7422" xr:uid="{5AF92C40-C843-43A3-BC76-E77EF43254AF}"/>
    <cellStyle name="Warning Text 10 3" xfId="7423" xr:uid="{76CE5B88-7667-4007-B45E-B28038156FB0}"/>
    <cellStyle name="Warning Text 10_Exist Trunk Assets - Ferry" xfId="10032" xr:uid="{C50EBDE6-06D6-45CD-A0F2-26957615A580}"/>
    <cellStyle name="Warning Text 11" xfId="1795" xr:uid="{94B82BFC-BEC5-4280-9D6E-DC3BF61F9D6A}"/>
    <cellStyle name="Warning Text 11 2" xfId="7424" xr:uid="{34319B7E-FF98-4E7F-9E58-EE8690B0E299}"/>
    <cellStyle name="Warning Text 11 3" xfId="7425" xr:uid="{66157C68-5410-46AF-B0B3-4C1E5BBCD329}"/>
    <cellStyle name="Warning Text 11_Exist Trunk Assets - Ferry" xfId="10033" xr:uid="{E4D7F07A-7FDE-47A9-AAA3-594C46FB8763}"/>
    <cellStyle name="Warning Text 12" xfId="1796" xr:uid="{33AA33D0-064A-43D4-94AB-7A2E95B75995}"/>
    <cellStyle name="Warning Text 12 2" xfId="7426" xr:uid="{69143165-44E3-4191-B256-8CBABAE222B4}"/>
    <cellStyle name="Warning Text 12 3" xfId="7427" xr:uid="{74C407C8-76FA-4098-9568-AA9389247086}"/>
    <cellStyle name="Warning Text 12_Exist Trunk Assets - Ferry" xfId="10034" xr:uid="{D0019EFD-57A6-4DA2-A4B9-855E6C1A094F}"/>
    <cellStyle name="Warning Text 13" xfId="1797" xr:uid="{9FEBEAA8-562C-414F-9663-B715DDB3B9DE}"/>
    <cellStyle name="Warning Text 13 2" xfId="7428" xr:uid="{594E3142-71A1-4148-A102-E008D80D33FA}"/>
    <cellStyle name="Warning Text 13 3" xfId="7429" xr:uid="{7929A33E-87D0-4FDC-9836-3AF068863939}"/>
    <cellStyle name="Warning Text 13_Exist Trunk Assets - Ferry" xfId="10035" xr:uid="{C8C5F4FC-805B-49DA-88C6-F67A082C4341}"/>
    <cellStyle name="Warning Text 14" xfId="1798" xr:uid="{E5801340-CAA6-4283-BBC4-6EB711B89EFD}"/>
    <cellStyle name="Warning Text 14 2" xfId="7430" xr:uid="{E6D9D5C9-E61F-4AA3-A5DD-4C7E58EFE823}"/>
    <cellStyle name="Warning Text 14 3" xfId="7431" xr:uid="{469F5A13-8248-4E98-8C15-219CD5E9FFBA}"/>
    <cellStyle name="Warning Text 14_Exist Trunk Assets - Ferry" xfId="10036" xr:uid="{85B756AD-B92B-44BF-82AB-AAC6CD49D0B6}"/>
    <cellStyle name="Warning Text 15" xfId="1799" xr:uid="{48A1B435-E7C3-409D-910C-C221D305809D}"/>
    <cellStyle name="Warning Text 15 2" xfId="7432" xr:uid="{8C4F32BF-8556-48E1-9C9A-F7F4DEBB3E61}"/>
    <cellStyle name="Warning Text 15 3" xfId="7433" xr:uid="{48A3CE93-C722-4227-B908-E949ABB148A5}"/>
    <cellStyle name="Warning Text 15_Exist Trunk Assets - Ferry" xfId="10037" xr:uid="{1C2595B2-F4C3-4C07-9F3F-E4C78306E443}"/>
    <cellStyle name="Warning Text 16" xfId="1800" xr:uid="{DED0D15A-7104-4C51-8515-2D7E4B0762B5}"/>
    <cellStyle name="Warning Text 16 2" xfId="7434" xr:uid="{63FED674-5C09-47D0-9542-1AD8E60D0124}"/>
    <cellStyle name="Warning Text 16 3" xfId="7435" xr:uid="{85333589-DFBB-44B3-9BA8-DA8D39FC264B}"/>
    <cellStyle name="Warning Text 16_Exist Trunk Assets - Ferry" xfId="10038" xr:uid="{0825E5ED-2CAA-4FD5-8FAA-1407E29A0B83}"/>
    <cellStyle name="Warning Text 17" xfId="1801" xr:uid="{6BDD3408-2279-4957-A002-7B373C8B260E}"/>
    <cellStyle name="Warning Text 17 2" xfId="7436" xr:uid="{2845F238-C881-41B0-8F5F-90E5E38C4A2C}"/>
    <cellStyle name="Warning Text 17 3" xfId="7437" xr:uid="{5072D91D-19AD-48A0-839F-CBCA119EF842}"/>
    <cellStyle name="Warning Text 17_Exist Trunk Assets - Ferry" xfId="10039" xr:uid="{1F8D49A1-6042-4629-97F6-D2FFC328D2E6}"/>
    <cellStyle name="Warning Text 18" xfId="1802" xr:uid="{D34E6C5D-A1BD-4209-8DC3-83D45C05AC95}"/>
    <cellStyle name="Warning Text 18 2" xfId="7438" xr:uid="{6B2D4323-9686-4032-8B6C-25D8ED592F33}"/>
    <cellStyle name="Warning Text 18 3" xfId="7439" xr:uid="{9140C6F0-3536-4145-8781-A8F820EB0B4F}"/>
    <cellStyle name="Warning Text 18_Exist Trunk Assets - Ferry" xfId="10040" xr:uid="{472E8D31-F755-44E1-A9EB-7B83FA746E96}"/>
    <cellStyle name="Warning Text 19" xfId="1803" xr:uid="{0745C43D-10E3-4695-8D69-EC9F316043BF}"/>
    <cellStyle name="Warning Text 19 2" xfId="7440" xr:uid="{9CEF8ABC-7234-43CF-AA22-3DDBDFFDF600}"/>
    <cellStyle name="Warning Text 19 3" xfId="7441" xr:uid="{87839800-1240-4FAA-BE35-A487BA044A65}"/>
    <cellStyle name="Warning Text 19_Exist Trunk Assets - Ferry" xfId="10041" xr:uid="{D1AB1526-F9B9-4184-A491-1DABBCB9305E}"/>
    <cellStyle name="Warning Text 2" xfId="1804" xr:uid="{55AA8BAB-E138-4087-8CEB-1ABE91A713C4}"/>
    <cellStyle name="Warning Text 2 2" xfId="7442" xr:uid="{3AA5E0FD-2C2B-4C7B-A38C-2202DA65F73F}"/>
    <cellStyle name="Warning Text 2 3" xfId="7443" xr:uid="{D5B242AD-C200-43A5-BA16-7C60C17490C6}"/>
    <cellStyle name="Warning Text 2_Exist Trunk Assets - Ferry" xfId="10042" xr:uid="{0953FCD0-0B60-4CB9-8253-210FD314B0EC}"/>
    <cellStyle name="Warning Text 20" xfId="1805" xr:uid="{F710A241-87A4-4C38-8FF2-7F327C3769F3}"/>
    <cellStyle name="Warning Text 20 2" xfId="7444" xr:uid="{C4AE3FAA-AF7A-4085-9C3A-CD9A6E12ED17}"/>
    <cellStyle name="Warning Text 20 3" xfId="7445" xr:uid="{36E50E88-D6E7-4E0F-A4E2-228671024B63}"/>
    <cellStyle name="Warning Text 20_Exist Trunk Assets - Ferry" xfId="10043" xr:uid="{D1978A03-0F4E-4C67-921E-D291A7A2E1C7}"/>
    <cellStyle name="Warning Text 21" xfId="1806" xr:uid="{ADF91798-F44C-4115-962B-E0F60C4AE149}"/>
    <cellStyle name="Warning Text 21 2" xfId="7446" xr:uid="{52BC723B-A007-4620-A5C6-9732ED70A7BC}"/>
    <cellStyle name="Warning Text 21 3" xfId="7447" xr:uid="{8B950E4B-732E-4711-8B95-315DE0F07502}"/>
    <cellStyle name="Warning Text 21_Exist Trunk Assets - Ferry" xfId="10044" xr:uid="{18062DCC-55D1-44EA-8FF7-195FDD206137}"/>
    <cellStyle name="Warning Text 22" xfId="1807" xr:uid="{4E6EEB2A-EC3C-4AE8-880A-7F25685ED6E1}"/>
    <cellStyle name="Warning Text 22 2" xfId="7448" xr:uid="{C849A0DD-02B9-4508-9A9A-5AEEF71FF738}"/>
    <cellStyle name="Warning Text 22 3" xfId="7449" xr:uid="{D3850BA3-0218-4F38-8903-EE56437360C2}"/>
    <cellStyle name="Warning Text 22_Exist Trunk Assets - Ferry" xfId="10045" xr:uid="{D4030DBF-F1BC-44B8-87B9-EE5CD0E72BC9}"/>
    <cellStyle name="Warning Text 23" xfId="1808" xr:uid="{E262CDDB-18A0-4147-AAC9-6B915EDCA96B}"/>
    <cellStyle name="Warning Text 23 2" xfId="7450" xr:uid="{11987C68-10A5-4F80-AEAB-97020E78C608}"/>
    <cellStyle name="Warning Text 23 3" xfId="7451" xr:uid="{D7D82601-7FAA-4518-AC95-1ED6F896D387}"/>
    <cellStyle name="Warning Text 23_Exist Trunk Assets - Ferry" xfId="10046" xr:uid="{924A3DB6-65AB-4824-B7CA-01232EE536F3}"/>
    <cellStyle name="Warning Text 24" xfId="1809" xr:uid="{04BE8FE1-798C-4A01-ACAB-5FD6AFEB3C05}"/>
    <cellStyle name="Warning Text 24 2" xfId="7452" xr:uid="{370A76F0-338B-49DC-A5A2-429FE4FEADD6}"/>
    <cellStyle name="Warning Text 24 3" xfId="7453" xr:uid="{23200004-C481-4FD6-95A7-EB82742858A9}"/>
    <cellStyle name="Warning Text 24_Exist Trunk Assets - Ferry" xfId="10047" xr:uid="{DC85E1E6-BCD9-4BF8-BA54-E8A0A5413DD9}"/>
    <cellStyle name="Warning Text 25" xfId="1810" xr:uid="{AAE45D9C-6B59-43E7-822C-2A27F431CECF}"/>
    <cellStyle name="Warning Text 25 2" xfId="7454" xr:uid="{CDCBA329-4BFF-4A9D-A351-AF5305063056}"/>
    <cellStyle name="Warning Text 25 3" xfId="7455" xr:uid="{96B25D01-E3C3-4CCA-8BC7-56DA33F2FD81}"/>
    <cellStyle name="Warning Text 25_Exist Trunk Assets - Ferry" xfId="10048" xr:uid="{0F888E10-8029-4F06-B4E6-6BA00ED8A4B1}"/>
    <cellStyle name="Warning Text 26" xfId="1811" xr:uid="{BD732A75-F83E-48DB-A483-EDB3D81491B0}"/>
    <cellStyle name="Warning Text 26 2" xfId="7456" xr:uid="{0A0A1136-90E0-4B3D-A0EB-0904741AA8C1}"/>
    <cellStyle name="Warning Text 26 3" xfId="7457" xr:uid="{E4D9C2CE-BC4B-4F53-92F0-89DC0BFB114F}"/>
    <cellStyle name="Warning Text 26_Exist Trunk Assets - Ferry" xfId="10049" xr:uid="{C0AE36E0-C1FE-42AD-A9CB-02989276D65C}"/>
    <cellStyle name="Warning Text 27" xfId="1812" xr:uid="{D21FC099-E5EA-4B22-B483-F4CF00FEA77A}"/>
    <cellStyle name="Warning Text 27 2" xfId="7458" xr:uid="{38D4D0AC-5B81-426D-A600-C1481D5503D3}"/>
    <cellStyle name="Warning Text 27 3" xfId="7459" xr:uid="{0904FBE6-F295-4B94-AE42-01A5F193E014}"/>
    <cellStyle name="Warning Text 27_Exist Trunk Assets - Ferry" xfId="10050" xr:uid="{D5BA2794-5D7B-433E-9C6D-AF676344B473}"/>
    <cellStyle name="Warning Text 28" xfId="1813" xr:uid="{9F40B205-6BBF-477B-84A2-F5C564A2981D}"/>
    <cellStyle name="Warning Text 28 2" xfId="7460" xr:uid="{3693E14A-22E3-4029-A48D-CCEE5B146A77}"/>
    <cellStyle name="Warning Text 28 3" xfId="7461" xr:uid="{63C1F75C-C435-4C18-AE2A-BEB5DD1D5BD2}"/>
    <cellStyle name="Warning Text 28_Exist Trunk Assets - Ferry" xfId="10051" xr:uid="{5B54FFDC-E6EB-4447-8B32-77BFBB1185A0}"/>
    <cellStyle name="Warning Text 29" xfId="1814" xr:uid="{3CDE8D53-A765-4405-A305-4B195F75387E}"/>
    <cellStyle name="Warning Text 29 2" xfId="7462" xr:uid="{54150D4A-6558-42A5-88CC-DEC099196952}"/>
    <cellStyle name="Warning Text 29 3" xfId="7463" xr:uid="{E25D11E7-C4C6-45EE-9AC2-F47AF1A5047E}"/>
    <cellStyle name="Warning Text 29_Exist Trunk Assets - Ferry" xfId="10052" xr:uid="{7BAD1D1E-0DA4-457A-83F5-7E0C2C834F4D}"/>
    <cellStyle name="Warning Text 3" xfId="1815" xr:uid="{4EF4A059-0BBE-49F1-8D1F-C522C4A4353C}"/>
    <cellStyle name="Warning Text 3 2" xfId="7464" xr:uid="{5F08C5F6-2782-4314-8899-CB088EF8C591}"/>
    <cellStyle name="Warning Text 3 3" xfId="7465" xr:uid="{2BE64F9B-6ED3-47FA-8562-7216E32B1437}"/>
    <cellStyle name="Warning Text 3_Exist Trunk Assets - Ferry" xfId="10053" xr:uid="{BC7D0F48-8F00-42E1-AB70-9E4E19DD7DE0}"/>
    <cellStyle name="Warning Text 30" xfId="1816" xr:uid="{E4A1D36D-593B-470D-A556-691C30808CCF}"/>
    <cellStyle name="Warning Text 30 2" xfId="7466" xr:uid="{443C2B56-B357-4A5F-B0B6-7527ED1C90ED}"/>
    <cellStyle name="Warning Text 30 3" xfId="7467" xr:uid="{19B90076-526F-48E1-B644-812EE65EB54D}"/>
    <cellStyle name="Warning Text 30_Exist Trunk Assets - Ferry" xfId="10054" xr:uid="{563A7F3C-130E-482D-9FEC-202D0BED7689}"/>
    <cellStyle name="Warning Text 31" xfId="1817" xr:uid="{3D3CC89B-8C83-40E8-AD4F-06EB768D0C2C}"/>
    <cellStyle name="Warning Text 31 2" xfId="7468" xr:uid="{C1AC88DA-1EF1-416E-A8BB-A82726DF74E8}"/>
    <cellStyle name="Warning Text 31 3" xfId="7469" xr:uid="{7D169213-569B-4D7D-B1AD-E41782E79476}"/>
    <cellStyle name="Warning Text 31_Exist Trunk Assets - Ferry" xfId="10055" xr:uid="{30D58D6D-0FC0-4A5F-9C32-30E66B383138}"/>
    <cellStyle name="Warning Text 32" xfId="1818" xr:uid="{79BBFCE5-DD42-4520-A660-7844AA58DA51}"/>
    <cellStyle name="Warning Text 32 2" xfId="7470" xr:uid="{3AF4B751-97EE-4B56-A397-553147CD02A3}"/>
    <cellStyle name="Warning Text 32 3" xfId="7471" xr:uid="{979FF75A-2BAA-4754-8089-3F3ACD439CB8}"/>
    <cellStyle name="Warning Text 32_Exist Trunk Assets - Ferry" xfId="10056" xr:uid="{81407D4A-B45A-4D1B-B186-FB996C061023}"/>
    <cellStyle name="Warning Text 33" xfId="1819" xr:uid="{5C080A41-6B2D-43A3-B566-189222E4674A}"/>
    <cellStyle name="Warning Text 33 2" xfId="7472" xr:uid="{75388502-F904-43A7-90CF-896DDCAA34F1}"/>
    <cellStyle name="Warning Text 33 3" xfId="7473" xr:uid="{1FA4EE9E-19FF-47D7-B0AC-DB1C304C209B}"/>
    <cellStyle name="Warning Text 33_Exist Trunk Assets - Ferry" xfId="10057" xr:uid="{032B760C-FCCD-491D-B748-AE92B949A26F}"/>
    <cellStyle name="Warning Text 34" xfId="1820" xr:uid="{017892D4-66E4-45D3-839C-7FC96037950F}"/>
    <cellStyle name="Warning Text 34 2" xfId="7474" xr:uid="{CF88B40D-FC9C-477A-9904-7494C1C8A89D}"/>
    <cellStyle name="Warning Text 34 3" xfId="7475" xr:uid="{FC9AC02D-65A0-453C-974B-227B29C4413E}"/>
    <cellStyle name="Warning Text 34_Exist Trunk Assets - Ferry" xfId="10058" xr:uid="{82318907-10C9-462A-9B21-D3DB3EF0B6B9}"/>
    <cellStyle name="Warning Text 35" xfId="1821" xr:uid="{FB404990-076A-473A-814A-9FC80EB130F0}"/>
    <cellStyle name="Warning Text 35 2" xfId="7476" xr:uid="{65293A97-C48B-444B-BBA9-A13281C16185}"/>
    <cellStyle name="Warning Text 35 3" xfId="7477" xr:uid="{35042270-2E42-4DCD-B5CA-9BEBE4C9C5B0}"/>
    <cellStyle name="Warning Text 35_Exist Trunk Assets - Ferry" xfId="10059" xr:uid="{4F9524B7-2FE2-484B-9C48-5261BF3C685E}"/>
    <cellStyle name="Warning Text 36" xfId="1822" xr:uid="{A770E556-003B-4EB7-9702-4DD3DD28AD37}"/>
    <cellStyle name="Warning Text 36 2" xfId="7478" xr:uid="{E6C374F0-1745-467C-AB94-33C79DE923AC}"/>
    <cellStyle name="Warning Text 36 3" xfId="7479" xr:uid="{FB15CAF9-158E-402F-847F-A2D97307CD0B}"/>
    <cellStyle name="Warning Text 36_Exist Trunk Assets - Ferry" xfId="10060" xr:uid="{F0E609F2-3F84-45E4-89BA-5770EC41F91B}"/>
    <cellStyle name="Warning Text 37" xfId="1823" xr:uid="{A01FCAEA-7B64-4AAA-B1D1-4729D3214219}"/>
    <cellStyle name="Warning Text 37 2" xfId="7480" xr:uid="{5097AFBD-572B-4846-B908-D0F4ACF64E0D}"/>
    <cellStyle name="Warning Text 37 3" xfId="7481" xr:uid="{A82580F8-883C-43C9-B6CE-DAC195AEBC34}"/>
    <cellStyle name="Warning Text 37_Exist Trunk Assets - Ferry" xfId="10061" xr:uid="{A3A2AB04-29D2-4D7B-B0C4-22C0C74F1386}"/>
    <cellStyle name="Warning Text 4" xfId="1824" xr:uid="{E8A8F2C8-41FD-41EB-8D3D-478019786D6E}"/>
    <cellStyle name="Warning Text 4 2" xfId="7482" xr:uid="{60C39C63-FED0-4A4C-A7E8-F967880358FD}"/>
    <cellStyle name="Warning Text 4 3" xfId="7483" xr:uid="{48F25530-D3C1-4532-95B3-785991BE773F}"/>
    <cellStyle name="Warning Text 4_Exist Trunk Assets - Ferry" xfId="10062" xr:uid="{9442C0B8-34BD-4160-AEDA-11A78E0D3C86}"/>
    <cellStyle name="Warning Text 5" xfId="1825" xr:uid="{BB866EB1-8C7A-4CE7-8EE9-F348743A1DB3}"/>
    <cellStyle name="Warning Text 5 2" xfId="7484" xr:uid="{6BC44CF2-B706-4A79-9DB3-03B67B3B5AD6}"/>
    <cellStyle name="Warning Text 5 3" xfId="7485" xr:uid="{956E7682-741C-41C9-9668-9F3B7F34F94C}"/>
    <cellStyle name="Warning Text 5_Exist Trunk Assets - Ferry" xfId="10063" xr:uid="{DB7D5FBD-8160-4846-B703-2E89BE249754}"/>
    <cellStyle name="Warning Text 6" xfId="1826" xr:uid="{655D1821-82E5-41B8-9011-7FF571A57923}"/>
    <cellStyle name="Warning Text 6 2" xfId="7486" xr:uid="{3D3A0CBE-21E3-4FAC-B9F6-0373BB295689}"/>
    <cellStyle name="Warning Text 6 3" xfId="7487" xr:uid="{6E004B23-DF9D-43EA-BC24-C2C3A3F910EC}"/>
    <cellStyle name="Warning Text 6_Exist Trunk Assets - Ferry" xfId="10064" xr:uid="{879501A9-A1B7-4646-9ED1-DAB7B0B2C410}"/>
    <cellStyle name="Warning Text 7" xfId="1827" xr:uid="{82316895-D2FE-4EEE-A52D-F85D2922E57D}"/>
    <cellStyle name="Warning Text 7 2" xfId="7488" xr:uid="{0CFBD9BD-72DB-4C07-98A1-093E75C76CDE}"/>
    <cellStyle name="Warning Text 7 3" xfId="7489" xr:uid="{FAAD8B0A-D523-4484-9484-84B7922EE37A}"/>
    <cellStyle name="Warning Text 7_Exist Trunk Assets - Ferry" xfId="10065" xr:uid="{E46ED589-4B57-414B-B007-CD64399963D5}"/>
    <cellStyle name="Warning Text 8" xfId="1828" xr:uid="{38E41DF7-8551-46AD-A129-7D3CEC57930B}"/>
    <cellStyle name="Warning Text 8 2" xfId="7490" xr:uid="{95E27B4E-68E1-458D-BA01-681F152E4AAF}"/>
    <cellStyle name="Warning Text 8 3" xfId="7491" xr:uid="{FA9CAA7F-814D-406D-82EC-2050D93FF8C0}"/>
    <cellStyle name="Warning Text 8_Exist Trunk Assets - Ferry" xfId="10066" xr:uid="{FA9F1969-7D06-4DAC-AA53-8209DA2DFF01}"/>
    <cellStyle name="Warning Text 9" xfId="1829" xr:uid="{8B60F44E-DE01-4A45-9592-0A15FB2FFB12}"/>
    <cellStyle name="Warning Text 9 2" xfId="7492" xr:uid="{8758AC08-4C56-4993-8C77-879CBB0AFE81}"/>
    <cellStyle name="Warning Text 9 3" xfId="7493" xr:uid="{026AED6B-0778-47A6-9D20-A679A6806FFF}"/>
    <cellStyle name="Warning Text 9_Exist Trunk Assets - Ferry" xfId="10067" xr:uid="{623B14CE-A9E2-49C8-9123-0EF6A58B05BE}"/>
    <cellStyle name="Záhlaví" xfId="2315" xr:uid="{688BB845-6B80-4300-97CF-1A851F9E412A}"/>
    <cellStyle name="Záhlaví 2" xfId="7494" xr:uid="{EC769BE0-AE8B-4792-B15B-19B13009C730}"/>
    <cellStyle name="Záhlaví 3" xfId="7495" xr:uid="{24B76ACB-E347-48DC-9293-0B8F024BDA47}"/>
    <cellStyle name="Záhlaví_Exist Trunk Assets - Ferry" xfId="10068" xr:uid="{6F4D0A88-938B-4B9C-8F49-C4ED7BE1D2F8}"/>
  </cellStyles>
  <dxfs count="202">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color rgb="FF9C0006"/>
      </font>
      <fill>
        <patternFill>
          <bgColor rgb="FFFFC7CE"/>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1" formatCode="0"/>
      <border diagonalUp="0" diagonalDown="0">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thin">
          <color indexed="64"/>
        </left>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7" formatCode="0.0%"/>
      <fill>
        <patternFill patternType="solid">
          <fgColor indexed="64"/>
          <bgColor theme="0" tint="-0.14999847407452621"/>
        </patternFill>
      </fill>
      <border diagonalUp="0" diagonalDown="0">
        <left style="thin">
          <color indexed="64"/>
        </left>
        <right style="thin">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fill>
        <patternFill patternType="solid">
          <fgColor indexed="64"/>
          <bgColor theme="0"/>
        </patternFill>
      </fill>
      <border diagonalUp="0" diagonalDown="0">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fill>
        <patternFill patternType="none">
          <fgColor indexed="64"/>
          <bgColor indexed="65"/>
        </patternFill>
      </fill>
      <border diagonalUp="0" diagonalDown="0">
        <left style="medium">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medium">
          <color indexed="64"/>
        </left>
        <right style="thin">
          <color indexed="64"/>
        </right>
        <top style="dotted">
          <color indexed="64"/>
        </top>
        <bottom style="dotted">
          <color indexed="64"/>
        </bottom>
        <vertical/>
        <horizontal/>
      </border>
      <protection locked="0" hidden="0"/>
    </dxf>
    <dxf>
      <numFmt numFmtId="166" formatCode="&quot;$&quot;#,##0"/>
      <fill>
        <patternFill patternType="solid">
          <fgColor indexed="64"/>
          <bgColor theme="0" tint="-0.14999847407452621"/>
        </patternFill>
      </fill>
      <border diagonalUp="0" diagonalDown="0">
        <left style="medium">
          <color indexed="64"/>
        </left>
        <right style="medium">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solid">
          <fgColor indexed="64"/>
          <bgColor theme="0" tint="-0.14999847407452621"/>
        </patternFill>
      </fill>
      <border diagonalUp="0" diagonalDown="0">
        <left style="medium">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none">
          <fgColor indexed="64"/>
          <bgColor indexed="65"/>
        </patternFill>
      </fill>
      <border diagonalUp="0" diagonalDown="0">
        <left style="thin">
          <color indexed="64"/>
        </left>
        <right/>
        <top style="dotted">
          <color indexed="64"/>
        </top>
        <bottom style="dotted">
          <color indexed="64"/>
        </bottom>
        <vertical/>
        <horizontal/>
      </border>
      <protection locked="0" hidden="0"/>
    </dxf>
    <dxf>
      <border diagonalUp="0" diagonalDown="0">
        <left style="medium">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2" formatCode="0.00"/>
      <fill>
        <patternFill patternType="solid">
          <fgColor indexed="64"/>
          <bgColor theme="0"/>
        </patternFill>
      </fill>
      <border diagonalUp="0" diagonalDown="0">
        <left style="thin">
          <color indexed="64"/>
        </left>
        <right style="thin">
          <color indexed="64"/>
        </right>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solid">
          <fgColor indexed="64"/>
          <bgColor theme="0"/>
        </patternFill>
      </fill>
      <border diagonalUp="0" diagonalDown="0">
        <left/>
        <right style="thin">
          <color indexed="64"/>
        </right>
        <top style="dotted">
          <color indexed="64"/>
        </top>
        <bottom/>
        <vertical/>
        <horizontal/>
      </border>
      <protection locked="0" hidden="0"/>
    </dxf>
    <dxf>
      <border diagonalUp="0" diagonalDown="0">
        <left style="medium">
          <color indexed="64"/>
        </left>
        <right style="medium">
          <color indexed="64"/>
        </right>
        <top style="dotted">
          <color indexed="64"/>
        </top>
        <bottom style="dotted">
          <color indexed="64"/>
        </bottom>
        <vertical/>
        <horizontal/>
      </border>
      <protection locked="0" hidden="0"/>
    </dxf>
    <dxf>
      <border diagonalUp="0" diagonalDown="0">
        <left style="thin">
          <color indexed="64"/>
        </left>
        <right style="medium">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medium">
          <color indexed="64"/>
        </left>
        <right style="thin">
          <color indexed="64"/>
        </right>
        <top style="dotted">
          <color indexed="64"/>
        </top>
        <bottom style="dotted">
          <color indexed="64"/>
        </bottom>
        <vertical/>
        <horizontal/>
      </border>
      <protection locked="0" hidden="0"/>
    </dxf>
    <dxf>
      <border outline="0">
        <left style="medium">
          <color indexed="64"/>
        </left>
        <top style="medium">
          <color indexed="64"/>
        </top>
      </border>
    </dxf>
    <dxf>
      <border outline="0">
        <bottom style="medium">
          <color indexed="64"/>
        </bottom>
      </border>
    </dxf>
    <dxf>
      <font>
        <b/>
        <i val="0"/>
        <strike val="0"/>
        <condense val="0"/>
        <extend val="0"/>
        <outline val="0"/>
        <shadow val="0"/>
        <u val="none"/>
        <vertAlign val="baseline"/>
        <sz val="11"/>
        <color auto="1"/>
        <name val="Century Gothic"/>
        <family val="2"/>
        <scheme val="minor"/>
      </font>
      <fill>
        <patternFill patternType="solid">
          <fgColor indexed="64"/>
          <bgColor theme="3" tint="0.39997558519241921"/>
        </patternFill>
      </fill>
      <alignment horizontal="center" vertical="bottom" textRotation="90" wrapText="1" indent="0" justifyLastLine="0" shrinkToFit="0" readingOrder="0"/>
    </dxf>
    <dxf>
      <font>
        <b val="0"/>
        <i val="0"/>
        <strike val="0"/>
        <condense val="0"/>
        <extend val="0"/>
        <outline val="0"/>
        <shadow val="0"/>
        <u val="none"/>
        <vertAlign val="baseline"/>
        <sz val="11"/>
        <color theme="1"/>
        <name val="Century Gothic"/>
        <family val="2"/>
        <scheme val="minor"/>
      </font>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numFmt numFmtId="165" formatCode="_-&quot;$&quot;* #,##0_-;\-&quot;$&quot;* #,##0_-;_-&quot;$&quot;* &quot;-&quot;??_-;_-@_-"/>
      <fill>
        <patternFill patternType="none">
          <fgColor indexed="64"/>
          <bgColor indexed="65"/>
        </patternFill>
      </fill>
      <border diagonalUp="0" diagonalDown="0">
        <right style="medium">
          <color indexed="64"/>
        </right>
        <vertic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numFmt numFmtId="165" formatCode="_-&quot;$&quot;* #,##0_-;\-&quot;$&quot;* #,##0_-;_-&quot;$&quot;* &quot;-&quot;??_-;_-@_-"/>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style="dotted">
          <color indexed="64"/>
        </bottom>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numFmt numFmtId="165" formatCode="_-&quot;$&quot;* #,##0_-;\-&quot;$&quot;* #,##0_-;_-&quot;$&quot;* &quot;-&quot;??_-;_-@_-"/>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border>
      <protection locked="0" hidden="0"/>
    </dxf>
    <dxf>
      <font>
        <b val="0"/>
        <i val="0"/>
        <strike val="0"/>
        <condense val="0"/>
        <extend val="0"/>
        <outline val="0"/>
        <shadow val="0"/>
        <u val="none"/>
        <vertAlign val="baseline"/>
        <sz val="11"/>
        <color theme="1"/>
        <name val="Century Gothic"/>
        <family val="2"/>
        <scheme val="minor"/>
      </font>
      <numFmt numFmtId="34" formatCode="_-&quot;$&quot;* #,##0.00_-;\-&quot;$&quot;* #,##0.0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34" formatCode="_-&quot;$&quot;* #,##0.00_-;\-&quot;$&quot;* #,##0.0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32" formatCode="_-&quot;$&quot;* #,##0_-;\-&quot;$&quot;* #,##0_-;_-&quot;$&quot;* &quot;-&quot;_-;_-@_-"/>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14" formatCode="0.00%"/>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34" formatCode="_-&quot;$&quot;* #,##0.00_-;\-&quot;$&quot;* #,##0.0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4" formatCode="0.00%"/>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numFmt numFmtId="2" formatCode="0.00"/>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style="thin">
          <color indexed="64"/>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border diagonalUp="0" diagonalDown="0" outline="0">
        <left/>
        <right style="thin">
          <color indexed="64"/>
        </right>
        <top style="dotted">
          <color indexed="64"/>
        </top>
        <bottom/>
      </border>
      <protection locked="0" hidden="0"/>
    </dxf>
    <dxf>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fill>
        <patternFill patternType="none">
          <fgColor indexed="64"/>
          <bgColor indexed="65"/>
        </patternFill>
      </fill>
      <protection locked="0" hidden="0"/>
    </dxf>
    <dxf>
      <font>
        <b/>
        <i val="0"/>
        <strike val="0"/>
        <condense val="0"/>
        <extend val="0"/>
        <outline val="0"/>
        <shadow val="0"/>
        <u val="none"/>
        <vertAlign val="baseline"/>
        <sz val="11"/>
        <color theme="0"/>
        <name val="Century Gothic"/>
        <family val="2"/>
        <scheme val="minor"/>
      </font>
      <fill>
        <patternFill patternType="solid">
          <fgColor indexed="64"/>
          <bgColor theme="3" tint="0.39997558519241921"/>
        </patternFill>
      </fill>
      <alignment horizontal="center" vertical="bottom" textRotation="90" wrapText="1" indent="0" justifyLastLine="0" shrinkToFit="0" readingOrder="0"/>
    </dxf>
    <dxf>
      <numFmt numFmtId="166" formatCode="&quot;$&quot;#,##0"/>
      <fill>
        <patternFill patternType="solid">
          <fgColor indexed="64"/>
          <bgColor theme="0" tint="-0.14999847407452621"/>
        </patternFill>
      </fill>
      <border diagonalUp="0" diagonalDown="0">
        <left style="medium">
          <color indexed="64"/>
        </left>
        <right/>
        <top style="dotted">
          <color indexed="64"/>
        </top>
        <bottom style="dotted">
          <color indexed="64"/>
        </bottom>
        <vertical/>
        <horizontal/>
      </border>
      <protection locked="0" hidden="0"/>
    </dxf>
    <dxf>
      <numFmt numFmtId="1" formatCode="0"/>
      <fill>
        <patternFill patternType="solid">
          <fgColor indexed="64"/>
          <bgColor theme="0"/>
        </patternFill>
      </fill>
      <border diagonalUp="0" diagonalDown="0">
        <left style="thin">
          <color indexed="64"/>
        </left>
        <right/>
        <top style="dotted">
          <color indexed="64"/>
        </top>
        <bottom style="dotted">
          <color indexed="64"/>
        </bottom>
        <vertical/>
        <horizontal/>
      </border>
      <protection locked="0" hidden="0"/>
    </dxf>
    <dxf>
      <numFmt numFmtId="166" formatCode="&quot;$&quot;#,##0"/>
      <fill>
        <patternFill patternType="solid">
          <fgColor indexed="64"/>
          <bgColor theme="0" tint="-0.14999847407452621"/>
        </patternFill>
      </fill>
      <border diagonalUp="0" diagonalDown="0">
        <left style="medium">
          <color indexed="64"/>
        </left>
        <right style="thin">
          <color indexed="64"/>
        </right>
        <top style="dotted">
          <color indexed="64"/>
        </top>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thin">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solid">
          <fgColor indexed="64"/>
          <bgColor theme="0"/>
        </patternFill>
      </fill>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fill>
        <patternFill patternType="solid">
          <fgColor indexed="64"/>
          <bgColor theme="0" tint="-0.14999847407452621"/>
        </patternFill>
      </fill>
      <border diagonalUp="0" diagonalDown="0">
        <left style="medium">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fill>
        <patternFill patternType="none">
          <fgColor indexed="64"/>
          <bgColor indexed="65"/>
        </patternFill>
      </fill>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border diagonalUp="0" diagonalDown="0">
        <left style="thin">
          <color indexed="64"/>
        </left>
        <right style="thin">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5" formatCode="_-&quot;$&quot;* #,##0_-;\-&quot;$&quot;* #,##0_-;_-&quot;$&quot;* &quot;-&quot;??_-;_-@_-"/>
      <fill>
        <patternFill patternType="none">
          <fgColor indexed="64"/>
          <bgColor indexed="65"/>
        </patternFill>
      </fill>
      <border diagonalUp="0" diagonalDown="0">
        <left style="medium">
          <color indexed="64"/>
        </left>
        <right style="thin">
          <color indexed="64"/>
        </right>
        <top style="dotted">
          <color indexed="64"/>
        </top>
        <bottom style="dotted">
          <color indexed="64"/>
        </bottom>
        <vertical/>
        <horizontal/>
      </border>
      <protection locked="0" hidden="0"/>
    </dxf>
    <dxf>
      <numFmt numFmtId="166" formatCode="&quot;$&quot;#,##0"/>
      <fill>
        <patternFill patternType="solid">
          <fgColor indexed="64"/>
          <bgColor theme="0"/>
        </patternFill>
      </fill>
      <border diagonalUp="0" diagonalDown="0">
        <left style="medium">
          <color indexed="64"/>
        </left>
        <right style="medium">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11"/>
        <color theme="1"/>
        <name val="Century Gothic"/>
        <family val="2"/>
        <scheme val="minor"/>
      </font>
      <numFmt numFmtId="164" formatCode="_-* #,##0_-;\-* #,##0_-;_-* &quot;-&quot;??_-;_-@_-"/>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medium">
          <color indexed="64"/>
        </left>
        <right style="thin">
          <color indexed="64"/>
        </right>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style="thin">
          <color indexed="64"/>
        </left>
        <right style="thin">
          <color indexed="64"/>
        </right>
        <top style="dotted">
          <color indexed="64"/>
        </top>
        <bottom style="dotted">
          <color indexed="64"/>
        </bottom>
        <vertical/>
        <horizontal/>
      </border>
      <protection locked="0" hidden="0"/>
    </dxf>
    <dxf>
      <border diagonalUp="0" diagonalDown="0">
        <left/>
        <right style="thin">
          <color indexed="64"/>
        </right>
        <top style="dotted">
          <color indexed="64"/>
        </top>
        <bottom style="dotted">
          <color indexed="64"/>
        </bottom>
        <vertical/>
        <horizontal/>
      </border>
      <protection locked="0" hidden="0"/>
    </dxf>
    <dxf>
      <border diagonalUp="0" diagonalDown="0">
        <left/>
        <right style="thin">
          <color indexed="64"/>
        </right>
        <top/>
        <bottom style="dotted">
          <color indexed="64"/>
        </bottom>
        <vertical/>
        <horizontal/>
      </border>
      <protection locked="0" hidden="0"/>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66" formatCode="&quot;$&quot;#,##0"/>
      <fill>
        <patternFill patternType="solid">
          <fgColor indexed="64"/>
          <bgColor theme="0" tint="-0.249977111117893"/>
        </patternFill>
      </fill>
      <border diagonalUp="0" diagonalDown="0">
        <left style="medium">
          <color indexed="64"/>
        </left>
        <right style="medium">
          <color indexed="64"/>
        </right>
        <top style="medium">
          <color indexed="64"/>
        </top>
        <bottom style="medium">
          <color indexed="64"/>
        </bottom>
        <vertical/>
        <horizontal/>
      </border>
    </dxf>
    <dxf>
      <numFmt numFmtId="166" formatCode="&quot;$&quot;#,##0"/>
      <fill>
        <patternFill patternType="solid">
          <fgColor indexed="64"/>
          <bgColor theme="0" tint="-0.14999847407452621"/>
        </patternFill>
      </fill>
      <border diagonalUp="0" diagonalDown="0">
        <left style="thin">
          <color indexed="64"/>
        </left>
        <right style="medium">
          <color indexed="64"/>
        </right>
        <top style="dotted">
          <color indexed="64"/>
        </top>
        <bottom style="dotted">
          <color indexed="64"/>
        </bottom>
        <vertical/>
        <horizontal/>
      </border>
      <protection locked="0" hidden="0"/>
    </dxf>
    <dxf>
      <numFmt numFmtId="1" formatCode="0"/>
      <fill>
        <patternFill patternType="solid">
          <fgColor indexed="64"/>
          <bgColor theme="0" tint="-4.9989318521683403E-2"/>
        </patternFill>
      </fill>
    </dxf>
    <dxf>
      <numFmt numFmtId="166" formatCode="&quot;$&quot;#,##0"/>
      <fill>
        <patternFill patternType="solid">
          <fgColor indexed="64"/>
          <bgColor theme="0" tint="-4.9989318521683403E-2"/>
        </patternFill>
      </fill>
    </dxf>
    <dxf>
      <fill>
        <patternFill patternType="solid">
          <fgColor indexed="64"/>
          <bgColor theme="0" tint="-4.9989318521683403E-2"/>
        </patternFill>
      </fill>
    </dxf>
    <dxf>
      <font>
        <b val="0"/>
        <i val="0"/>
        <strike val="0"/>
        <condense val="0"/>
        <extend val="0"/>
        <outline val="0"/>
        <shadow val="0"/>
        <u val="none"/>
        <vertAlign val="baseline"/>
        <sz val="11"/>
        <color theme="1"/>
        <name val="Century Gothic"/>
        <family val="2"/>
        <scheme val="minor"/>
      </font>
      <numFmt numFmtId="2" formatCode="0.00"/>
      <fill>
        <patternFill patternType="solid">
          <fgColor indexed="64"/>
          <bgColor theme="0" tint="-4.9989318521683403E-2"/>
        </patternFill>
      </fill>
      <border diagonalUp="0" diagonalDown="0" outline="0">
        <left/>
        <right/>
        <top/>
        <bottom/>
      </border>
    </dxf>
    <dxf>
      <font>
        <b val="0"/>
        <i val="0"/>
        <strike val="0"/>
        <condense val="0"/>
        <extend val="0"/>
        <outline val="0"/>
        <shadow val="0"/>
        <u val="none"/>
        <vertAlign val="baseline"/>
        <sz val="11"/>
        <color theme="1"/>
        <name val="Century Gothic"/>
        <family val="2"/>
        <scheme val="minor"/>
      </font>
      <fill>
        <patternFill patternType="solid">
          <fgColor indexed="64"/>
          <bgColor theme="0" tint="-4.9989318521683403E-2"/>
        </patternFill>
      </fill>
      <border diagonalUp="0" diagonalDown="0" outline="0">
        <left/>
        <right/>
        <top/>
        <bottom/>
      </border>
    </dxf>
    <dxf>
      <fill>
        <patternFill patternType="solid">
          <fgColor indexed="64"/>
          <bgColor theme="0" tint="-4.9989318521683403E-2"/>
        </patternFill>
      </fill>
    </dxf>
    <dxf>
      <font>
        <b val="0"/>
        <i val="0"/>
        <strike val="0"/>
        <condense val="0"/>
        <extend val="0"/>
        <outline val="0"/>
        <shadow val="0"/>
        <u val="none"/>
        <vertAlign val="baseline"/>
        <sz val="11"/>
        <color theme="1"/>
        <name val="Century Gothic"/>
        <family val="2"/>
        <scheme val="minor"/>
      </font>
      <numFmt numFmtId="164" formatCode="_-* #,##0_-;\-* #,##0_-;_-* &quot;-&quot;??_-;_-@_-"/>
      <fill>
        <patternFill patternType="solid">
          <fgColor indexed="64"/>
          <bgColor theme="0" tint="-4.9989318521683403E-2"/>
        </patternFill>
      </fill>
      <border diagonalUp="0" diagonalDown="0" outline="0">
        <left/>
        <right/>
        <top/>
        <bottom/>
      </border>
    </dxf>
    <dxf>
      <fill>
        <patternFill patternType="solid">
          <fgColor indexed="64"/>
          <bgColor theme="0" tint="-4.9989318521683403E-2"/>
        </patternFill>
      </fill>
    </dxf>
    <dxf>
      <numFmt numFmtId="166" formatCode="&quot;$&quot;#,##0"/>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4.9989318521683403E-2"/>
        </patternFill>
      </fill>
    </dxf>
    <dxf>
      <font>
        <b val="0"/>
        <i val="0"/>
        <strike val="0"/>
        <condense val="0"/>
        <extend val="0"/>
        <outline val="0"/>
        <shadow val="0"/>
        <u val="none"/>
        <vertAlign val="baseline"/>
        <sz val="11"/>
        <color theme="1"/>
        <name val="Century Gothic"/>
        <family val="2"/>
        <scheme val="minor"/>
      </font>
      <fill>
        <patternFill patternType="solid">
          <fgColor indexed="64"/>
          <bgColor theme="0" tint="-4.9989318521683403E-2"/>
        </patternFill>
      </fill>
      <border diagonalUp="0" diagonalDown="0" outline="0">
        <left/>
        <right/>
        <top/>
        <bottom/>
      </border>
    </dxf>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4.9989318521683403E-2"/>
        </patternFill>
      </fill>
    </dxf>
    <dxf>
      <border outline="0">
        <left style="medium">
          <color indexed="64"/>
        </left>
        <top style="medium">
          <color indexed="64"/>
        </top>
      </border>
    </dxf>
    <dxf>
      <border outline="0">
        <bottom style="medium">
          <color indexed="64"/>
        </bottom>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9B2D474F-F0B8-490E-BB90-769EC4F12D9B}">
      <tableStyleElement type="wholeTable" dxfId="201"/>
    </tableStyle>
  </tableStyles>
  <colors>
    <mruColors>
      <color rgb="FFFFFFFF"/>
      <color rgb="FFF8F8F8"/>
      <color rgb="FFF3F5AB"/>
      <color rgb="FFFA3D2E"/>
      <color rgb="FFD91334"/>
      <color rgb="FFF62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155236</xdr:colOff>
      <xdr:row>14</xdr:row>
      <xdr:rowOff>392230</xdr:rowOff>
    </xdr:from>
    <xdr:to>
      <xdr:col>6</xdr:col>
      <xdr:colOff>515276</xdr:colOff>
      <xdr:row>17</xdr:row>
      <xdr:rowOff>72541</xdr:rowOff>
    </xdr:to>
    <xdr:sp macro="" textlink="">
      <xdr:nvSpPr>
        <xdr:cNvPr id="24" name="Right Arrow 23">
          <a:extLst>
            <a:ext uri="{FF2B5EF4-FFF2-40B4-BE49-F238E27FC236}">
              <a16:creationId xmlns:a16="http://schemas.microsoft.com/office/drawing/2014/main" id="{00000000-0008-0000-0000-000018000000}"/>
            </a:ext>
          </a:extLst>
        </xdr:cNvPr>
        <xdr:cNvSpPr/>
      </xdr:nvSpPr>
      <xdr:spPr>
        <a:xfrm>
          <a:off x="4007569" y="4075230"/>
          <a:ext cx="360040" cy="101804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twoCellAnchor>
    <xdr:from>
      <xdr:col>11</xdr:col>
      <xdr:colOff>143842</xdr:colOff>
      <xdr:row>14</xdr:row>
      <xdr:rowOff>257801</xdr:rowOff>
    </xdr:from>
    <xdr:to>
      <xdr:col>11</xdr:col>
      <xdr:colOff>501501</xdr:colOff>
      <xdr:row>17</xdr:row>
      <xdr:rowOff>165388</xdr:rowOff>
    </xdr:to>
    <xdr:sp macro="" textlink="">
      <xdr:nvSpPr>
        <xdr:cNvPr id="25" name="Right Arrow 24">
          <a:extLst>
            <a:ext uri="{FF2B5EF4-FFF2-40B4-BE49-F238E27FC236}">
              <a16:creationId xmlns:a16="http://schemas.microsoft.com/office/drawing/2014/main" id="{00000000-0008-0000-0000-000019000000}"/>
            </a:ext>
          </a:extLst>
        </xdr:cNvPr>
        <xdr:cNvSpPr/>
      </xdr:nvSpPr>
      <xdr:spPr>
        <a:xfrm>
          <a:off x="7662242" y="3940801"/>
          <a:ext cx="357659" cy="12453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AU"/>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ersonalp\personalp$\Volumes\STORE%20N%20GO\Infras_Coordination\Excel\LGIP_Financial_Model\Testing\Transport\Pathways\Existing\Shared%20paths%20existing%20construction%20and%20land%20co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rsonalp\personalp$\Users\107414\Documents\Infras_Coordination\Excel\LGIP_Financial_Model\LGIPA1a\Project%20Cost%20discounting%20to%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Discounting"/>
    </sheetNames>
    <sheetDataSet>
      <sheetData sheetId="0">
        <row r="7">
          <cell r="N7">
            <v>0.92859543010752688</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E03E6F-E0E2-4E7F-83AA-0FF551D274FA}" name="tblExistPathway" displayName="tblExistPathway" ref="B11:T1481" totalsRowCount="1" headerRowBorderDxfId="200" tableBorderDxfId="199">
  <autoFilter ref="B11:T1480" xr:uid="{4E01D1B1-727B-1846-BEF1-662F0106BA25}"/>
  <tableColumns count="19">
    <tableColumn id="1" xr3:uid="{DCD5966E-C516-4D8C-A7DC-C5D4D9E5C4BF}" name="Asset ID"/>
    <tableColumn id="2" xr3:uid="{CD4EE8A5-9DB4-4C24-B7A6-E816A6FA4975}" name="LGIP ID" totalsRowDxfId="198"/>
    <tableColumn id="3" xr3:uid="{01E311A9-0A90-474E-8B51-9626B6ABBDE4}" name="Asset Class" totalsRowDxfId="197"/>
    <tableColumn id="4" xr3:uid="{51FDA2E9-8600-4463-A82A-829D976C7812}" name="Asset Name" totalsRowDxfId="196"/>
    <tableColumn id="5" xr3:uid="{0399586D-C049-42A4-8D30-EB90BA66140A}" name="Description" totalsRowDxfId="195"/>
    <tableColumn id="6" xr3:uid="{39345EDA-1FA7-4FAF-B5D8-B88A3DF6AA5E}" name="Unit Rate Type (*)" totalsRowDxfId="194"/>
    <tableColumn id="7" xr3:uid="{2B067568-3E27-4EB0-973C-D0FCFD5B4812}" name="Surface Area (m2)" totalsRowDxfId="193" totalsRowCellStyle="Comma"/>
    <tableColumn id="8" xr3:uid="{CA830546-4481-4F71-A2EC-012D58919C13}" name="Hierarchy/Name" totalsRowDxfId="192"/>
    <tableColumn id="9" xr3:uid="{1EE5B183-69D0-46E6-A656-7CEA9B267980}" name="Construction Unit Rate ($/m2)" totalsRowDxfId="191" dataCellStyle="Currency"/>
    <tableColumn id="10" xr3:uid="{67F54EA5-6AB4-4EA8-8FE4-013AE7EC16BE}" name="Construction Cost ($)" totalsRowDxfId="190"/>
    <tableColumn id="11" xr3:uid="{D9D95E01-DE5D-49B5-A672-177A20C7DCA1}" name="Site/Condition" totalsRowDxfId="189"/>
    <tableColumn id="12" xr3:uid="{DBAF4978-B963-49CB-B257-C7D985F03F9B}" name="Multiplier" totalsRowDxfId="188" totalsRowCellStyle="Comma"/>
    <tableColumn id="13" xr3:uid="{3E139198-E076-4967-8762-AB3B0A6F49EC}" name="Gross Value" totalsRowDxfId="187"/>
    <tableColumn id="14" xr3:uid="{ED213A2F-F85B-4FB4-9C02-D66A07FEED6A}" name="Land Location/Type" totalsRowDxfId="186" totalsRowCellStyle="Comma"/>
    <tableColumn id="15" xr3:uid="{500FA23D-D4B8-42B6-A767-7002910DD4FF}" name="Size of land (m2)" totalsRowDxfId="185" totalsRowCellStyle="Comma"/>
    <tableColumn id="16" xr3:uid="{88B5532C-0217-4C17-B52D-6BD91E24F0C1}" name="Land Unit Rate ($/m2)" totalsRowDxfId="184">
      <calculatedColumnFormula>IFERROR(R12/P12,0)</calculatedColumnFormula>
    </tableColumn>
    <tableColumn id="17" xr3:uid="{8B05E5D1-BEF7-4F30-A189-9F9E17D7EA75}" name="Land Value" totalsRowDxfId="183"/>
    <tableColumn id="18" xr3:uid="{CBEFE216-C96F-4AF5-9652-7BB65E68DBF0}" name="Valuation Year" totalsRowDxfId="182"/>
    <tableColumn id="19" xr3:uid="{727E8012-C3ED-4CED-B6C5-1BD7BA81C942}" name="Current Replacement Cost" totalsRowFunction="sum" dataDxfId="181" totalsRowDxfId="180">
      <calculatedColumnFormula>IFERROR(ROUND((K12*(1+PPI_Existing)^(YEAR-S12))+(R12*((1+LandInd_Existing)^(YEAR-S12))),0),0)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6879C0-B118-42BF-9AB0-D7923A5CFEF7}" name="tblExistFerry" displayName="tblExistFerry" ref="B12:T42" totalsRowShown="0" headerRowBorderDxfId="179" tableBorderDxfId="178">
  <autoFilter ref="B12:T42" xr:uid="{796879C0-B118-42BF-9AB0-D7923A5CFEF7}"/>
  <tableColumns count="19">
    <tableColumn id="1" xr3:uid="{05DE0FC7-E676-4466-A2DF-1E13F6C016F4}" name="Asset ID" dataDxfId="177"/>
    <tableColumn id="2" xr3:uid="{DD752742-85F5-427D-8158-DB736099D2C3}" name="LGIP ID" dataDxfId="176"/>
    <tableColumn id="3" xr3:uid="{8956051B-5D14-43D5-AB4C-0B4010E40C4E}" name="Asset Class" dataDxfId="175"/>
    <tableColumn id="4" xr3:uid="{2E0F8E78-3D32-43AD-8F77-9F3D64641D6B}" name="Asset Name" dataDxfId="174"/>
    <tableColumn id="5" xr3:uid="{6D1510C3-D894-40C1-B270-919C818834EB}" name="Description" dataDxfId="173"/>
    <tableColumn id="6" xr3:uid="{5248F8E0-3D07-45B7-B0ED-29750144A645}" name="Unit Rate Type (*)" dataDxfId="172"/>
    <tableColumn id="7" xr3:uid="{B67DEB0A-51CE-461E-A469-928E6E7022AF}" name="Length/unit (*)" dataDxfId="171" dataCellStyle="Comma"/>
    <tableColumn id="8" xr3:uid="{1685224F-9011-4DAF-A4F1-CD5CBD68A767}" name="Hierarchy/Name" dataDxfId="170"/>
    <tableColumn id="9" xr3:uid="{DC67678A-BAE5-4F4E-A9E7-C1090F56BC21}" name="Construction Unit Rate" dataDxfId="169" dataCellStyle="Currency"/>
    <tableColumn id="10" xr3:uid="{2185A531-6504-4FB9-9717-CA736EDD4130}" name="Baseline Valuation" dataDxfId="168" dataCellStyle="Currency"/>
    <tableColumn id="11" xr3:uid="{7BE503DF-4F96-4C99-A6F7-157932DA049C}" name="Site/Condition" dataDxfId="167"/>
    <tableColumn id="12" xr3:uid="{0C2CEE56-D4B9-4BEE-9DF1-6BB660DB92B5}" name="Multiplier" dataDxfId="166" dataCellStyle="Comma">
      <calculatedColumnFormula>IF(L13="",1,VLOOKUP(L13,Roadsitecond,2,FALSE))</calculatedColumnFormula>
    </tableColumn>
    <tableColumn id="13" xr3:uid="{BA142076-854C-4561-B464-3D059DD47123}" name="Construction Cost ($)" dataDxfId="165" dataCellStyle="Currency"/>
    <tableColumn id="14" xr3:uid="{45B4F88B-2C29-4AB6-A89A-4C978F0354B5}" name="Land Location/Type" dataDxfId="164"/>
    <tableColumn id="15" xr3:uid="{C9DB5040-18E5-42F6-A5D0-65674D2AFE5E}" name="Size of land (m2)" dataDxfId="163" dataCellStyle="Comma"/>
    <tableColumn id="16" xr3:uid="{67C38784-1FED-4262-929A-75638FFEDB7A}" name="Land Unit Rate ($/m2)" dataDxfId="162" dataCellStyle="Currency"/>
    <tableColumn id="17" xr3:uid="{1BF648E5-C8DB-4C99-A1E3-4CFE29554DFB}" name="Land Value" dataDxfId="161"/>
    <tableColumn id="18" xr3:uid="{CA73DA03-FEEE-43DA-930F-77A3EE7D8F42}" name="Valuation Year" dataDxfId="160"/>
    <tableColumn id="19" xr3:uid="{DB0E8990-E371-4D93-9A81-3C3A2B0D1E35}" name="Replacement Cost" dataDxfId="159">
      <calculatedColumnFormula>IFERROR(ROUND((N13*(1+PPI_Existing)^(YEAR-S13))+(R13*((1+LandInd_Existing)^(YEAR-S13))),0),0)</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3C77EB-3AF8-45E3-8795-B6244B2A55F6}" name="tblFuturePathway" displayName="tblFuturePathway" ref="B15:AI103" totalsRowShown="0" headerRowDxfId="158" dataDxfId="157">
  <autoFilter ref="B15:AI103" xr:uid="{D53C77EB-3AF8-45E3-8795-B6244B2A55F6}"/>
  <tableColumns count="34">
    <tableColumn id="3" xr3:uid="{AA48A40B-6B14-4269-8699-54FB7B21B058}" name="Asset ID" dataDxfId="156" totalsRowDxfId="155"/>
    <tableColumn id="4" xr3:uid="{5AFBD537-3E8A-4833-92FC-E2C445FC74CB}" name="LGIP ID" dataDxfId="154" totalsRowDxfId="153"/>
    <tableColumn id="5" xr3:uid="{390A1803-E9B0-46DC-800C-6D98193EDC1D}" name="Project Type" dataDxfId="152" totalsRowDxfId="151"/>
    <tableColumn id="6" xr3:uid="{002DEDB7-CB73-4D71-ACCF-C1F063B0B95E}" name="Service Catchment" dataDxfId="150" totalsRowDxfId="149"/>
    <tableColumn id="7" xr3:uid="{941FE2A6-D973-4460-BD2E-8A77A338E296}" name="Description" dataDxfId="148" totalsRowDxfId="147"/>
    <tableColumn id="8" xr3:uid="{49B790E3-8AB6-4D98-A807-C6E844E89A66}" name="Unit Rate Type (*)" dataDxfId="146" totalsRowDxfId="145"/>
    <tableColumn id="9" xr3:uid="{437D74EA-6F2E-469E-BA85-4A8FB856A9B5}" name="Length (m)" dataDxfId="144" totalsRowDxfId="143"/>
    <tableColumn id="10" xr3:uid="{6FAD2C4A-5E9D-4B1A-A22B-8A3D9C857EF7}" name="Hierarchy/Name" dataDxfId="142" totalsRowDxfId="141"/>
    <tableColumn id="11" xr3:uid="{BF0865F9-9B5D-4B1B-8E8E-B5B1CA45FCEF}" name="Land Location/Type" dataDxfId="140"/>
    <tableColumn id="12" xr3:uid="{F3532409-C41F-465B-832B-48F787C01798}" name="Size of Land (m2)" dataDxfId="139" totalsRowDxfId="138"/>
    <tableColumn id="13" xr3:uid="{445BB5D4-F73C-43B9-BD7F-7E0EE5013DA4}" name="Land Unit Rate ($/m2)" dataDxfId="137" totalsRowDxfId="136"/>
    <tableColumn id="14" xr3:uid="{401DB08C-4E9D-4197-BEF6-DB40A15CF25F}" name="Land Value" dataDxfId="135" totalsRowDxfId="134"/>
    <tableColumn id="15" xr3:uid="{ADFF3A73-4A53-4330-8CD1-D20B96F8ABB7}" name="Construction Unit Rate ($/m)" dataDxfId="133" totalsRowDxfId="132"/>
    <tableColumn id="16" xr3:uid="{A6D3412E-5FCC-4ACB-B2FB-35C891237008}" name="Direct Construction Cost" dataDxfId="131" totalsRowDxfId="130"/>
    <tableColumn id="17" xr3:uid="{7AA589AC-F27E-4980-9B50-33212D6F00B4}" name="Valuation Year" dataDxfId="129" totalsRowDxfId="128"/>
    <tableColumn id="18" xr3:uid="{FB0B8DE5-51F5-43D2-A8B3-26892C3E3A35}" name="Base Est Escalation" dataDxfId="127" totalsRowDxfId="126"/>
    <tableColumn id="19" xr3:uid="{F941DA4D-DBA9-46AE-9A31-18F458FCC77D}" name="Site/Condition" dataDxfId="125" totalsRowDxfId="124"/>
    <tableColumn id="21" xr3:uid="{75BB48FA-2813-48CB-BC3A-376AA26771B7}" name="Project Owners Cost (23% Direct Construction Cost)($)" dataDxfId="123" totalsRowDxfId="122"/>
    <tableColumn id="22" xr3:uid="{AE91389B-53B0-400A-BC89-87850F0E14D2}" name="Construction Contingency Rate %" dataDxfId="121" totalsRowDxfId="120"/>
    <tableColumn id="23" xr3:uid="{4A7AE6F9-FE21-4BE7-B03C-F5CA88696DA1}" name="Construction Contingency Cost ($)" dataDxfId="119" totalsRowDxfId="118"/>
    <tableColumn id="24" xr3:uid="{80AF5206-1C1B-462C-9E35-469C81D2725E}" name="Grants and Subsidies ($)" dataDxfId="117" totalsRowDxfId="116"/>
    <tableColumn id="26" xr3:uid="{3C903EC3-A4CE-4294-9881-D1CBA31501ED}" name="Year of Provision" dataDxfId="115" totalsRowDxfId="114"/>
    <tableColumn id="27" xr3:uid="{290EE1E5-DB1F-4DE6-863D-AC8A207C08D0}" name="Escalation" dataDxfId="113" totalsRowDxfId="112"/>
    <tableColumn id="28" xr3:uid="{46B54CED-723D-47F2-BE4D-E75A015F58CE}" name="Total Construction Cost ($)" dataDxfId="111" totalsRowDxfId="110"/>
    <tableColumn id="37" xr3:uid="{E679A9DF-0490-41BA-9663-452B3E4EB07F}" name="Spare Capacity (%)" dataDxfId="109">
      <calculatedColumnFormula>IFERROR(IF(tblFuturePathway[[#This Row],[Year of Provision]]&gt;2024,VLOOKUP(tblFuturePathway[[#This Row],[Service Catchment]],'Catchment Demand - Pathway'!C$8:M$8,11,FALSE),""),"")</calculatedColumnFormula>
    </tableColumn>
    <tableColumn id="36" xr3:uid="{3A40CE85-D612-4F1A-BD5C-8DCFA97BB617}" name="Share of the total Cost with the same year of provision %" dataDxfId="108">
      <calculatedColumnFormula array="1">_xlfn.IFS(tblFuturePathway[[#This Row],[Year of Provision]]=2019,0,tblFuturePathway[[#This Row],[Year of Provision]]=2024,tblFuturePathway[[#This Row],[Net Present Value of Establishment Cost]]/SUMIFS(AF16:AF103,W16:W103,"2024",E16:E103,tblFuturePathway[[#This Row],[Service Catchment]]))</calculatedColumnFormula>
    </tableColumn>
    <tableColumn id="35" xr3:uid="{C38ED5BC-6C7A-479E-BD12-084B70EC7445}" name="Terminal Value Analysis" dataDxfId="107" totalsRowDxfId="106">
      <calculatedColumnFormula>IF(AND(tblFuturePathway[[#This Row],[Spare Capacity (%)]]&gt;30%,tblFuturePathway[[#This Row],[Share of the total Cost with the same year of provision %]]&gt;20%),(1-tblFuturePathway[[#This Row],[Spare Capacity (%)]]),1)</calculatedColumnFormula>
    </tableColumn>
    <tableColumn id="34" xr3:uid="{9E01FFE2-C1C8-4988-A372-02D819C17385}" name="Terminal Value Adjustment (%)" dataDxfId="105" totalsRowDxfId="104"/>
    <tableColumn id="29" xr3:uid="{017EDC34-E260-4426-9197-A827C028FB05}" name="Establishment Cost" dataDxfId="103" totalsRowDxfId="102"/>
    <tableColumn id="30" xr3:uid="{554A53E3-B015-46CB-946E-5B2DB19718C5}" name="Establishment Cost (Escalated)" dataDxfId="101" totalsRowDxfId="100"/>
    <tableColumn id="31" xr3:uid="{863E3C90-066C-49DE-9BCF-9FB8559184EE}" name="Net Present Value of Establishment Cost" dataDxfId="99" totalsRowDxfId="98"/>
    <tableColumn id="38" xr3:uid="{94E0C2D1-1DC0-4C15-8C13-0632E806E508}" name="NPV Establishment Cost after Terminal Value Adjustment" dataDxfId="97" totalsRowDxfId="96">
      <calculatedColumnFormula>tblFuturePathway[[#This Row],[Net Present Value of Establishment Cost]]*tblFuturePathway[[#This Row],[Terminal Value Adjustment (%)]]</calculatedColumnFormula>
    </tableColumn>
    <tableColumn id="32" xr3:uid="{ED427480-23C9-41A3-B5D1-E0A21D811228}" name="Cost Allocation" dataDxfId="95" totalsRowDxfId="94"/>
    <tableColumn id="39" xr3:uid="{D65DE0A1-692C-49EF-A5C4-0057F99FD119}" name="Cost Allocation for Service Cost Schedule" dataDxfId="93" totalsRowDxfId="92">
      <calculatedColumnFormula>tblFuturePathway[[#This Row],[Net Present Value of Establishment Cost]]*tblFuturePathway[[#This Row],[Terminal Value Adjustment (%)]]</calculatedColumnFormula>
    </tableColumn>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992FD6-D390-44D7-9AA7-A9CC61614B32}" name="Table4" displayName="Table4" ref="B15:AJ23" totalsRowShown="0" headerRowDxfId="91" headerRowBorderDxfId="90" tableBorderDxfId="89">
  <autoFilter ref="B15:AJ23" xr:uid="{7F992FD6-D390-44D7-9AA7-A9CC61614B32}"/>
  <tableColumns count="35">
    <tableColumn id="1" xr3:uid="{2E380FA8-2374-4855-B40E-5719032CAA6B}" name="Asset ID" dataDxfId="88"/>
    <tableColumn id="2" xr3:uid="{36CC7888-9B6D-447A-A4AF-DACF15C497D5}" name="LGIP ID" dataDxfId="87"/>
    <tableColumn id="3" xr3:uid="{F3C0636B-3157-4BC8-9A62-3B2AFFBB9FBC}" name="Project Type" dataDxfId="86"/>
    <tableColumn id="4" xr3:uid="{038241C6-B3A6-43F9-812A-3B5B1DCA62C2}" name="Service Catchment" dataDxfId="85"/>
    <tableColumn id="5" xr3:uid="{68A2F02D-F778-4B46-AE64-B6D9FB55F3DE}" name="Description" dataDxfId="84"/>
    <tableColumn id="6" xr3:uid="{1162B69E-DD51-483C-8A6B-4E8FC8ACC616}" name="Unit Rate Type (*)" dataDxfId="83"/>
    <tableColumn id="7" xr3:uid="{034EABC9-0D98-49D5-9E35-0E1EFC3FEE84}" name="Length (m)" dataDxfId="82" dataCellStyle="Comma"/>
    <tableColumn id="8" xr3:uid="{B75D7F60-87A2-4CB9-8451-3D9009EABE09}" name="Hierarchy/Name" dataDxfId="81" dataCellStyle="Comma"/>
    <tableColumn id="9" xr3:uid="{78715A7F-FAB6-4AA6-B075-90A2E889CBBA}" name="Land Location/Type" dataDxfId="80"/>
    <tableColumn id="10" xr3:uid="{D12BD77C-AD58-40EE-932C-5EAB808CB133}" name="Size of Land (m2)" dataDxfId="79" dataCellStyle="Comma"/>
    <tableColumn id="11" xr3:uid="{9406323D-8DFF-48C9-BCA3-1E3CC9036517}" name="Land Unit Rate ($/m2)" dataDxfId="78" dataCellStyle="Currency"/>
    <tableColumn id="12" xr3:uid="{6AD4357E-2DE3-424B-A3F4-C3B5D3834176}" name="Land Value" dataDxfId="77" dataCellStyle="Currency"/>
    <tableColumn id="13" xr3:uid="{DCF1B580-F3AF-4E41-81CE-F5A5373DE3E4}" name="Construction Unit Rate ($/m)" dataDxfId="76">
      <calculatedColumnFormula>IFERROR(O16/H16,"")</calculatedColumnFormula>
    </tableColumn>
    <tableColumn id="14" xr3:uid="{B8319BE2-157F-43BB-A4F2-DC50DC449FD5}" name="Direct Construction Cost" dataDxfId="75" dataCellStyle="Currency"/>
    <tableColumn id="15" xr3:uid="{15D28CBE-3E1A-45D4-8CED-D65AABCAB7A7}" name="Valuation Year" dataDxfId="74"/>
    <tableColumn id="16" xr3:uid="{7D929AEA-BB12-4808-AD76-0DF1BCE28CE0}" name="Base Est Escalation" dataDxfId="73" dataCellStyle="Percent"/>
    <tableColumn id="17" xr3:uid="{9CF8AD0E-D679-4CBB-9097-982F0D47217A}" name="Site/Condition" dataDxfId="72" dataCellStyle="Comma"/>
    <tableColumn id="18" xr3:uid="{070534CC-5A16-492C-A83C-DCE5238FF18B}" name="Utility Rate" dataDxfId="71" dataCellStyle="Percent"/>
    <tableColumn id="19" xr3:uid="{00D158BC-693A-4C20-8012-CFC33DBD9E0E}" name="Utility Cost" dataDxfId="70" dataCellStyle="Currency">
      <calculatedColumnFormula>O16*S16</calculatedColumnFormula>
    </tableColumn>
    <tableColumn id="20" xr3:uid="{CDD4B325-39EF-4ABC-BEE7-C0C5E2C3E563}" name="Construction Contingency Rate %" dataDxfId="69" dataCellStyle="Currency">
      <calculatedColumnFormula>IF(Z16="","",IF(Z16&lt;=YEAR+5,0.075,IF(AND(Z16&gt;YEAR+5,Z16&lt;=YEAR+10),0.15,IF(AND(Z16&gt;YEAR+10,Z16&lt;=YEAR+20),0.2,IF(Z16&gt;YEAR+20,0.25,"")))))</calculatedColumnFormula>
    </tableColumn>
    <tableColumn id="21" xr3:uid="{BAEAD1F5-E7D5-42BF-A577-CD84D236A5F1}" name="Construction Contingency Cost ($)" dataDxfId="68" dataCellStyle="Currency">
      <calculatedColumnFormula>ROUND((O16+W16)*U16,0)</calculatedColumnFormula>
    </tableColumn>
    <tableColumn id="22" xr3:uid="{976DBE6F-3B82-4660-ABFB-0A6D9549065E}" name="Project Owners Cost (23% Direct Construction Cost)($)" dataDxfId="67" dataCellStyle="Currency">
      <calculatedColumnFormula>ROUND((O16)*23%,0)</calculatedColumnFormula>
    </tableColumn>
    <tableColumn id="23" xr3:uid="{72AC1E24-B572-4BD1-852E-C4B4C8DA33F7}" name="Grants and Subsidies ($)" dataDxfId="66" dataCellStyle="Currency"/>
    <tableColumn id="24" xr3:uid="{CE01A3EB-3893-4F8E-BE1C-6C4BA7856A4E}" name="Establishment Cost" dataDxfId="65" dataCellStyle="Currency">
      <calculatedColumnFormula>ROUND((M16+O16+T16+V16+W16-X16),0)</calculatedColumnFormula>
    </tableColumn>
    <tableColumn id="25" xr3:uid="{B4CA74E3-7246-4B8D-80C4-E1DB97C580D5}" name="Year of Provision" dataDxfId="64"/>
    <tableColumn id="26" xr3:uid="{9066A60E-6FEA-4127-847D-185B4E982957}" name="Escalation" dataDxfId="63" dataCellStyle="Percent">
      <calculatedColumnFormula>(1+PPI)^(Z16-YEAR)</calculatedColumnFormula>
    </tableColumn>
    <tableColumn id="27" xr3:uid="{89E06105-D918-4DE0-8A77-2BA046F15591}" name="Discounting" dataDxfId="62" dataCellStyle="Percent">
      <calculatedColumnFormula>IF(Z16&lt;YEAR,1,IF('General Input Sheet'!$E$32="WACC1",1/(1+WACC1)^(Z16-YEAR), IF('General Input Sheet'!$E$32="WACC2",1/(1+WACC2)^(Z16-YEAR),"Check WACC Option in General Input Sheet")))</calculatedColumnFormula>
    </tableColumn>
    <tableColumn id="28" xr3:uid="{31BCDB69-CA27-4873-9A2C-011F1C7144AD}" name="Renewal (%)" dataDxfId="61" dataCellStyle="Percent"/>
    <tableColumn id="29" xr3:uid="{B42E17C8-AF06-438A-B605-CB3B477DEF67}" name="Spare Capacity (%)" dataDxfId="60" dataCellStyle="Percent">
      <calculatedColumnFormula>IFERROR(IF(Z16&gt;2024,VLOOKUP(E16,'Catchment Demand - Ferry'!C$9:M$9,11,FALSE),""),"")</calculatedColumnFormula>
    </tableColumn>
    <tableColumn id="30" xr3:uid="{A210EB04-E313-48B9-8C7B-F7919D9678A2}" name="Share of the total Cost with the same year of provision %" dataDxfId="59" dataCellStyle="Percent">
      <calculatedColumnFormula array="1">_xlfn.IFS(Z16=2024,0,Z16=2029,Y16/SUMIFS($Y$17:$Y$23,$Z$17:$Z$23,"2029",$E$17:$E$23,E16),Z16=2034,Y16/SUMIFS($Y$17:$Y$23,$Z$17:$Z$23,"2034",$E$17:$E$23,E16))</calculatedColumnFormula>
    </tableColumn>
    <tableColumn id="31" xr3:uid="{878A51A1-F80F-43EE-AC80-23A45DEA4C89}" name="Terminal Value Analysis" dataDxfId="58" dataCellStyle="Percent">
      <calculatedColumnFormula>IF(AND(AD16&gt;30%,AE16&gt;20%),(1-AD16),1)</calculatedColumnFormula>
    </tableColumn>
    <tableColumn id="32" xr3:uid="{B0AAA249-4E94-421C-A3B7-57037469A534}" name="Terminal Value Adjustment (%)" dataDxfId="57" dataCellStyle="Percent">
      <calculatedColumnFormula>IF(AF16&lt;0,0,AF16)</calculatedColumnFormula>
    </tableColumn>
    <tableColumn id="33" xr3:uid="{D1D433C1-8829-4345-9940-C84F5E76BDF9}" name="Establishment Cost (Escalated)" dataDxfId="56" dataCellStyle="Currency">
      <calculatedColumnFormula>IFERROR(ROUND((Y16*AA16*(1-AC16))+((1+Landind)^(Z16-YEAR)*M16),0),0)</calculatedColumnFormula>
    </tableColumn>
    <tableColumn id="34" xr3:uid="{C1FB3CDC-EB64-41C6-BCAF-E702FDE6B21F}" name="Net Present Value of Establishment Cost" dataDxfId="55" dataCellStyle="Currency">
      <calculatedColumnFormula>IFERROR(ROUND((AH16*AB16),0),0)</calculatedColumnFormula>
    </tableColumn>
    <tableColumn id="35" xr3:uid="{34521F78-3BD3-46A8-80AC-E1781F47F832}" name="NPV Establishment Cost after Terminal Value Adjustment" dataDxfId="54" dataCellStyle="Currency">
      <calculatedColumnFormula>AI16*AG16</calculatedColumnFormula>
    </tableColumn>
  </tableColumns>
  <tableStyleInfo name="Table Style 1" showFirstColumn="0" showLastColumn="0" showRowStripes="1" showColumnStripes="0"/>
</table>
</file>

<file path=xl/theme/theme1.xml><?xml version="1.0" encoding="utf-8"?>
<a:theme xmlns:a="http://schemas.openxmlformats.org/drawingml/2006/main" name="Sl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sheetPr>
  <dimension ref="B2:R29"/>
  <sheetViews>
    <sheetView tabSelected="1" zoomScale="70" zoomScaleNormal="70" workbookViewId="0">
      <selection activeCell="D8" sqref="D8:P9"/>
    </sheetView>
  </sheetViews>
  <sheetFormatPr defaultColWidth="9" defaultRowHeight="13.8"/>
  <cols>
    <col min="1" max="1" width="3.296875" style="7" customWidth="1"/>
    <col min="2" max="2" width="3.5" style="7" customWidth="1"/>
    <col min="3" max="3" width="22.296875" style="7" customWidth="1"/>
    <col min="4" max="5" width="9" style="7"/>
    <col min="6" max="6" width="6.5" style="7" customWidth="1"/>
    <col min="7" max="7" width="8.5" style="7" customWidth="1"/>
    <col min="8" max="8" width="7.296875" style="7" customWidth="1"/>
    <col min="9" max="9" width="11.296875" style="7" customWidth="1"/>
    <col min="10" max="10" width="9" style="7"/>
    <col min="11" max="11" width="12.59765625" style="7" customWidth="1"/>
    <col min="12" max="12" width="8.796875" style="7" customWidth="1"/>
    <col min="13" max="15" width="9" style="7"/>
    <col min="16" max="16" width="19.5" style="7" customWidth="1"/>
    <col min="17" max="16384" width="9" style="7"/>
  </cols>
  <sheetData>
    <row r="2" spans="2:18" ht="24.6">
      <c r="B2" s="524" t="s">
        <v>106</v>
      </c>
      <c r="C2" s="524"/>
      <c r="D2" s="524"/>
      <c r="E2" s="524"/>
      <c r="F2" s="524"/>
      <c r="G2" s="524"/>
      <c r="H2" s="524"/>
      <c r="I2" s="524"/>
      <c r="J2" s="524"/>
      <c r="K2" s="524"/>
      <c r="L2" s="524"/>
      <c r="M2" s="524"/>
      <c r="N2" s="524"/>
      <c r="O2" s="524"/>
      <c r="P2" s="524"/>
    </row>
    <row r="3" spans="2:18">
      <c r="B3" s="525" t="s">
        <v>105</v>
      </c>
      <c r="C3" s="525"/>
      <c r="D3" s="525"/>
      <c r="E3" s="525"/>
      <c r="F3" s="525"/>
      <c r="G3" s="525"/>
      <c r="H3" s="525"/>
      <c r="I3" s="525"/>
      <c r="J3" s="525"/>
      <c r="K3" s="525"/>
      <c r="L3" s="525"/>
      <c r="M3" s="525"/>
      <c r="N3" s="525"/>
      <c r="O3" s="525"/>
      <c r="P3" s="525"/>
    </row>
    <row r="4" spans="2:18" ht="24">
      <c r="B4" s="8"/>
      <c r="F4" s="526"/>
      <c r="G4" s="526"/>
    </row>
    <row r="5" spans="2:18" ht="8.25" customHeight="1"/>
    <row r="6" spans="2:18" ht="15.6">
      <c r="B6" s="9" t="s">
        <v>0</v>
      </c>
      <c r="C6" s="9"/>
      <c r="D6" s="10">
        <v>2</v>
      </c>
      <c r="E6" s="9"/>
      <c r="F6" s="9" t="s">
        <v>1</v>
      </c>
      <c r="G6" s="244">
        <v>45835</v>
      </c>
      <c r="J6" s="9" t="s">
        <v>92</v>
      </c>
      <c r="K6" s="11" t="s">
        <v>2326</v>
      </c>
      <c r="Q6" s="7" t="s">
        <v>42</v>
      </c>
    </row>
    <row r="7" spans="2:18" ht="6" customHeight="1">
      <c r="B7" s="9"/>
      <c r="C7" s="9"/>
      <c r="D7" s="9"/>
      <c r="E7" s="9"/>
      <c r="F7" s="9"/>
      <c r="G7" s="9"/>
      <c r="H7" s="9"/>
      <c r="I7" s="9"/>
      <c r="J7" s="9"/>
    </row>
    <row r="8" spans="2:18" ht="15.6">
      <c r="B8" s="9" t="s">
        <v>2</v>
      </c>
      <c r="C8" s="12"/>
      <c r="D8" s="553" t="s">
        <v>2497</v>
      </c>
      <c r="E8" s="554"/>
      <c r="F8" s="554"/>
      <c r="G8" s="554"/>
      <c r="H8" s="554"/>
      <c r="I8" s="554"/>
      <c r="J8" s="554"/>
      <c r="K8" s="554"/>
      <c r="L8" s="554"/>
      <c r="M8" s="554"/>
      <c r="N8" s="554"/>
      <c r="O8" s="554"/>
      <c r="P8" s="555"/>
    </row>
    <row r="9" spans="2:18" ht="15">
      <c r="C9" s="12"/>
      <c r="D9" s="556"/>
      <c r="E9" s="557"/>
      <c r="F9" s="557"/>
      <c r="G9" s="557"/>
      <c r="H9" s="557"/>
      <c r="I9" s="557"/>
      <c r="J9" s="557"/>
      <c r="K9" s="557"/>
      <c r="L9" s="557"/>
      <c r="M9" s="557"/>
      <c r="N9" s="557"/>
      <c r="O9" s="557"/>
      <c r="P9" s="558"/>
    </row>
    <row r="10" spans="2:18" ht="49.8" customHeight="1">
      <c r="B10" s="9"/>
      <c r="D10" s="542" t="s">
        <v>81</v>
      </c>
      <c r="E10" s="542"/>
      <c r="F10" s="15"/>
      <c r="G10" s="15"/>
      <c r="H10" s="15"/>
      <c r="I10" s="542" t="s">
        <v>82</v>
      </c>
      <c r="J10" s="542"/>
      <c r="K10" s="15"/>
      <c r="L10" s="15"/>
      <c r="M10" s="15"/>
      <c r="N10" s="542" t="s">
        <v>83</v>
      </c>
      <c r="O10" s="542"/>
    </row>
    <row r="11" spans="2:18" ht="9" customHeight="1">
      <c r="B11" s="9"/>
    </row>
    <row r="12" spans="2:18" ht="23.4">
      <c r="C12" s="543" t="s">
        <v>5</v>
      </c>
      <c r="D12" s="544"/>
      <c r="E12" s="544"/>
      <c r="F12" s="545"/>
      <c r="H12" s="527" t="s">
        <v>80</v>
      </c>
      <c r="I12" s="528"/>
      <c r="J12" s="528"/>
      <c r="K12" s="529"/>
      <c r="M12" s="539" t="s">
        <v>78</v>
      </c>
      <c r="N12" s="540"/>
      <c r="O12" s="540"/>
      <c r="P12" s="541"/>
      <c r="R12" s="7" t="s">
        <v>42</v>
      </c>
    </row>
    <row r="13" spans="2:18" ht="47.25" customHeight="1">
      <c r="C13" s="546" t="s">
        <v>27</v>
      </c>
      <c r="D13" s="547"/>
      <c r="E13" s="547"/>
      <c r="F13" s="548"/>
      <c r="H13" s="530" t="s">
        <v>111</v>
      </c>
      <c r="I13" s="531"/>
      <c r="J13" s="531"/>
      <c r="K13" s="532"/>
      <c r="M13" s="552" t="s">
        <v>84</v>
      </c>
      <c r="N13" s="547"/>
      <c r="O13" s="547"/>
      <c r="P13" s="548"/>
      <c r="R13" s="7" t="s">
        <v>42</v>
      </c>
    </row>
    <row r="14" spans="2:18" ht="24" customHeight="1">
      <c r="H14" s="533"/>
      <c r="I14" s="534"/>
      <c r="J14" s="534"/>
      <c r="K14" s="535"/>
    </row>
    <row r="15" spans="2:18" ht="41.55" customHeight="1">
      <c r="B15"/>
      <c r="C15" s="549" t="s">
        <v>2478</v>
      </c>
      <c r="D15" s="550"/>
      <c r="E15" s="550"/>
      <c r="F15" s="551"/>
      <c r="H15" s="533"/>
      <c r="I15" s="534"/>
      <c r="J15" s="534"/>
      <c r="K15" s="535"/>
      <c r="M15" s="562" t="s">
        <v>26</v>
      </c>
      <c r="N15" s="563"/>
      <c r="O15" s="563"/>
      <c r="P15" s="564"/>
    </row>
    <row r="16" spans="2:18" ht="48.75" customHeight="1">
      <c r="C16" s="546" t="s">
        <v>4</v>
      </c>
      <c r="D16" s="547"/>
      <c r="E16" s="547"/>
      <c r="F16" s="548"/>
      <c r="H16" s="533"/>
      <c r="I16" s="534"/>
      <c r="J16" s="534"/>
      <c r="K16" s="535"/>
      <c r="M16" s="559" t="s">
        <v>2325</v>
      </c>
      <c r="N16" s="560"/>
      <c r="O16" s="560"/>
      <c r="P16" s="561"/>
    </row>
    <row r="17" spans="3:18" ht="15" customHeight="1">
      <c r="H17" s="533"/>
      <c r="I17" s="534"/>
      <c r="J17" s="534"/>
      <c r="K17" s="535"/>
      <c r="M17" s="13"/>
      <c r="N17" s="13"/>
      <c r="O17" s="13"/>
      <c r="P17" s="13"/>
    </row>
    <row r="18" spans="3:18" ht="23.25" customHeight="1">
      <c r="C18" s="543" t="s">
        <v>2479</v>
      </c>
      <c r="D18" s="544"/>
      <c r="E18" s="544"/>
      <c r="F18" s="545"/>
      <c r="H18" s="533"/>
      <c r="I18" s="534"/>
      <c r="J18" s="534"/>
      <c r="K18" s="535"/>
    </row>
    <row r="19" spans="3:18" ht="36.75" customHeight="1">
      <c r="C19" s="552" t="s">
        <v>79</v>
      </c>
      <c r="D19" s="547"/>
      <c r="E19" s="547"/>
      <c r="F19" s="548"/>
      <c r="H19" s="533"/>
      <c r="I19" s="534"/>
      <c r="J19" s="534"/>
      <c r="K19" s="535"/>
      <c r="R19" s="7" t="s">
        <v>42</v>
      </c>
    </row>
    <row r="20" spans="3:18">
      <c r="H20" s="533"/>
      <c r="I20" s="534"/>
      <c r="J20" s="534"/>
      <c r="K20" s="535"/>
    </row>
    <row r="21" spans="3:18" ht="23.4">
      <c r="C21" s="543" t="s">
        <v>3</v>
      </c>
      <c r="D21" s="544"/>
      <c r="E21" s="544"/>
      <c r="F21" s="545"/>
      <c r="H21" s="533"/>
      <c r="I21" s="534"/>
      <c r="J21" s="534"/>
      <c r="K21" s="535"/>
    </row>
    <row r="22" spans="3:18" ht="31.5" customHeight="1">
      <c r="C22" s="568" t="s">
        <v>2228</v>
      </c>
      <c r="D22" s="569"/>
      <c r="E22" s="569"/>
      <c r="F22" s="570"/>
      <c r="H22" s="533"/>
      <c r="I22" s="534"/>
      <c r="J22" s="534"/>
      <c r="K22" s="535"/>
    </row>
    <row r="23" spans="3:18" ht="33.75" customHeight="1">
      <c r="C23" s="565" t="s">
        <v>2227</v>
      </c>
      <c r="D23" s="566"/>
      <c r="E23" s="566"/>
      <c r="F23" s="567"/>
      <c r="H23" s="536"/>
      <c r="I23" s="537"/>
      <c r="J23" s="537"/>
      <c r="K23" s="538"/>
    </row>
    <row r="24" spans="3:18" ht="15" customHeight="1">
      <c r="M24" s="14"/>
      <c r="N24" s="14"/>
      <c r="O24" s="14"/>
      <c r="P24" s="14"/>
    </row>
    <row r="29" spans="3:18" ht="7.35" customHeight="1"/>
  </sheetData>
  <mergeCells count="22">
    <mergeCell ref="C18:F18"/>
    <mergeCell ref="M15:P15"/>
    <mergeCell ref="C23:F23"/>
    <mergeCell ref="C22:F22"/>
    <mergeCell ref="C19:F19"/>
    <mergeCell ref="C21:F21"/>
    <mergeCell ref="B2:P2"/>
    <mergeCell ref="B3:P3"/>
    <mergeCell ref="F4:G4"/>
    <mergeCell ref="H12:K12"/>
    <mergeCell ref="H13:K23"/>
    <mergeCell ref="M12:P12"/>
    <mergeCell ref="D10:E10"/>
    <mergeCell ref="I10:J10"/>
    <mergeCell ref="N10:O10"/>
    <mergeCell ref="C12:F12"/>
    <mergeCell ref="C13:F13"/>
    <mergeCell ref="C15:F15"/>
    <mergeCell ref="C16:F16"/>
    <mergeCell ref="M13:P13"/>
    <mergeCell ref="D8:P9"/>
    <mergeCell ref="M16:P16"/>
  </mergeCells>
  <hyperlinks>
    <hyperlink ref="C12" location="'General Input Sheet'!A1" display="Generl Input Sheet" xr:uid="{00000000-0004-0000-0000-000000000000}"/>
    <hyperlink ref="M12:P12" location="'Summary Cost Schedule'!A1" display="Summary Cost Schedule" xr:uid="{00000000-0004-0000-0000-000001000000}"/>
  </hyperlinks>
  <pageMargins left="0.23622047244094491" right="0.23622047244094491" top="0.74803149606299213" bottom="0.74803149606299213" header="0.31496062992125984" footer="0.31496062992125984"/>
  <pageSetup paperSize="9" scale="60" pageOrder="overThenDown" orientation="landscape" horizontalDpi="4294967293" r:id="rId1"/>
  <headerFooter>
    <oddFooter>&amp;L&amp;"Arial,Regular"&amp;10Schedule of Works Model - Active and Public Transport Network - &amp;A
&amp;"Arial,Bold"&amp;K000000Effective 27th June 2025&amp;R&amp;"Arial,Regular"&amp;10Page &amp;P of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L67"/>
  <sheetViews>
    <sheetView tabSelected="1" zoomScale="70" zoomScaleNormal="70" workbookViewId="0">
      <selection activeCell="D8" sqref="D8:P9"/>
    </sheetView>
  </sheetViews>
  <sheetFormatPr defaultColWidth="9" defaultRowHeight="13.8"/>
  <cols>
    <col min="1" max="1" width="4.296875" style="468" customWidth="1"/>
    <col min="2" max="2" width="5.296875" style="468" customWidth="1"/>
    <col min="3" max="3" width="53.796875" style="468" customWidth="1"/>
    <col min="4" max="4" width="3.5" style="468" customWidth="1"/>
    <col min="5" max="5" width="15.796875" style="468" customWidth="1"/>
    <col min="6" max="6" width="3.296875" style="468" customWidth="1"/>
    <col min="7" max="7" width="10.796875" style="468" customWidth="1"/>
    <col min="8" max="8" width="2" style="468" customWidth="1"/>
    <col min="9" max="9" width="78.59765625" style="468" bestFit="1" customWidth="1"/>
    <col min="10" max="10" width="9" style="468"/>
    <col min="11" max="12" width="1.09765625" style="468" customWidth="1"/>
    <col min="13" max="16384" width="9" style="468"/>
  </cols>
  <sheetData>
    <row r="2" spans="2:12" ht="24.6">
      <c r="B2" s="571" t="str">
        <f>'Navigation Pane'!B2</f>
        <v>Brisbane City Council</v>
      </c>
      <c r="C2" s="571"/>
      <c r="D2" s="571"/>
      <c r="E2" s="571"/>
      <c r="F2" s="571"/>
      <c r="G2" s="571"/>
      <c r="H2" s="571"/>
      <c r="I2" s="571"/>
      <c r="J2" s="571"/>
      <c r="K2" s="571"/>
      <c r="L2" s="571"/>
    </row>
    <row r="3" spans="2:12">
      <c r="B3" s="578" t="s">
        <v>47</v>
      </c>
      <c r="C3" s="578"/>
    </row>
    <row r="4" spans="2:12" ht="23.4">
      <c r="B4" s="572" t="s">
        <v>5</v>
      </c>
      <c r="C4" s="572"/>
      <c r="D4" s="572"/>
      <c r="E4" s="572"/>
      <c r="F4" s="572"/>
      <c r="G4" s="572"/>
      <c r="H4" s="572"/>
      <c r="I4" s="572"/>
      <c r="J4" s="572"/>
      <c r="K4" s="572"/>
    </row>
    <row r="5" spans="2:12" ht="14.4" thickBot="1"/>
    <row r="6" spans="2:12" ht="14.4" thickBot="1">
      <c r="B6" s="576" t="s">
        <v>6</v>
      </c>
      <c r="C6" s="577"/>
      <c r="E6" s="469" t="s">
        <v>9</v>
      </c>
      <c r="F6" s="469"/>
      <c r="G6" s="469" t="s">
        <v>10</v>
      </c>
      <c r="H6" s="469"/>
      <c r="I6" s="469" t="s">
        <v>2</v>
      </c>
    </row>
    <row r="7" spans="2:12" ht="5.0999999999999996" customHeight="1" thickBot="1"/>
    <row r="8" spans="2:12" ht="14.4" thickBot="1">
      <c r="C8" s="470" t="s">
        <v>7</v>
      </c>
      <c r="E8" s="471" t="s">
        <v>8</v>
      </c>
      <c r="G8" s="472">
        <v>2021</v>
      </c>
      <c r="I8" s="473"/>
    </row>
    <row r="9" spans="2:12" ht="7.35" customHeight="1" thickBot="1">
      <c r="G9" s="474">
        <f>YEAR</f>
        <v>2021</v>
      </c>
      <c r="I9" s="475"/>
    </row>
    <row r="10" spans="2:12" ht="14.4" thickBot="1">
      <c r="C10" s="470" t="s">
        <v>89</v>
      </c>
      <c r="E10" s="471" t="s">
        <v>90</v>
      </c>
      <c r="G10" s="472">
        <v>15</v>
      </c>
      <c r="I10" s="473"/>
    </row>
    <row r="11" spans="2:12" ht="5.0999999999999996" customHeight="1" thickBot="1">
      <c r="I11" s="475"/>
    </row>
    <row r="12" spans="2:12" ht="14.4" thickBot="1">
      <c r="B12" s="576" t="s">
        <v>52</v>
      </c>
      <c r="C12" s="577"/>
      <c r="I12" s="475"/>
    </row>
    <row r="13" spans="2:12" ht="5.0999999999999996" customHeight="1" thickBot="1">
      <c r="C13" s="468" t="s">
        <v>42</v>
      </c>
      <c r="I13" s="475"/>
    </row>
    <row r="14" spans="2:12" ht="14.4" thickBot="1">
      <c r="C14" s="470" t="s">
        <v>53</v>
      </c>
      <c r="E14" s="471" t="s">
        <v>50</v>
      </c>
      <c r="G14" s="476" t="s">
        <v>48</v>
      </c>
      <c r="I14" s="473"/>
    </row>
    <row r="15" spans="2:12" ht="5.0999999999999996" customHeight="1" thickBot="1">
      <c r="I15" s="475"/>
    </row>
    <row r="16" spans="2:12" ht="14.4" thickBot="1">
      <c r="B16" s="576" t="s">
        <v>29</v>
      </c>
      <c r="C16" s="577"/>
      <c r="I16" s="475"/>
    </row>
    <row r="17" spans="2:9" ht="5.0999999999999996" customHeight="1">
      <c r="I17" s="475"/>
    </row>
    <row r="18" spans="2:9" ht="14.4" thickBot="1">
      <c r="B18" s="477" t="s">
        <v>11</v>
      </c>
      <c r="I18" s="475"/>
    </row>
    <row r="19" spans="2:9" ht="15.75" customHeight="1" thickBot="1">
      <c r="C19" s="470" t="s">
        <v>12</v>
      </c>
      <c r="E19" s="471" t="s">
        <v>40</v>
      </c>
      <c r="G19" s="478"/>
      <c r="I19" s="473"/>
    </row>
    <row r="20" spans="2:9" ht="5.0999999999999996" customHeight="1" thickBot="1">
      <c r="I20" s="475"/>
    </row>
    <row r="21" spans="2:9" ht="14.4" thickBot="1">
      <c r="B21" s="573" t="s">
        <v>15</v>
      </c>
      <c r="C21" s="470" t="s">
        <v>30</v>
      </c>
      <c r="D21" s="479"/>
      <c r="E21" s="471" t="s">
        <v>13</v>
      </c>
      <c r="F21" s="479"/>
      <c r="G21" s="478"/>
      <c r="I21" s="473" t="s">
        <v>65</v>
      </c>
    </row>
    <row r="22" spans="2:9" ht="14.4" thickBot="1">
      <c r="B22" s="574"/>
      <c r="C22" s="480"/>
      <c r="G22" s="481"/>
      <c r="I22" s="475"/>
    </row>
    <row r="23" spans="2:9" ht="14.4" thickBot="1">
      <c r="B23" s="575"/>
      <c r="C23" s="482" t="s">
        <v>14</v>
      </c>
      <c r="D23" s="483"/>
      <c r="E23" s="471" t="s">
        <v>16</v>
      </c>
      <c r="F23" s="483"/>
      <c r="G23" s="484">
        <v>5.91E-2</v>
      </c>
      <c r="I23" s="475"/>
    </row>
    <row r="24" spans="2:9" ht="5.0999999999999996" customHeight="1" thickBot="1">
      <c r="I24" s="475"/>
    </row>
    <row r="25" spans="2:9" ht="15.75" customHeight="1" thickBot="1">
      <c r="B25" s="573" t="s">
        <v>46</v>
      </c>
      <c r="C25" s="485" t="s">
        <v>18</v>
      </c>
      <c r="D25" s="479"/>
      <c r="E25" s="471" t="s">
        <v>17</v>
      </c>
      <c r="F25" s="479"/>
      <c r="G25" s="478"/>
      <c r="I25" s="473"/>
    </row>
    <row r="26" spans="2:9" ht="14.4" thickBot="1">
      <c r="B26" s="574"/>
      <c r="C26" s="485" t="s">
        <v>31</v>
      </c>
      <c r="E26" s="471" t="s">
        <v>19</v>
      </c>
      <c r="G26" s="486"/>
      <c r="I26" s="473"/>
    </row>
    <row r="27" spans="2:9" ht="14.4" thickBot="1">
      <c r="B27" s="574"/>
      <c r="C27" s="485" t="s">
        <v>20</v>
      </c>
      <c r="E27" s="471" t="s">
        <v>21</v>
      </c>
      <c r="G27" s="486"/>
      <c r="I27" s="473"/>
    </row>
    <row r="28" spans="2:9" ht="15.75" customHeight="1" thickBot="1">
      <c r="B28" s="574"/>
      <c r="C28" s="485" t="s">
        <v>22</v>
      </c>
      <c r="E28" s="471" t="s">
        <v>23</v>
      </c>
      <c r="G28" s="486"/>
      <c r="I28" s="473"/>
    </row>
    <row r="29" spans="2:9" ht="14.4" thickBot="1">
      <c r="B29" s="574"/>
      <c r="G29" s="481"/>
      <c r="I29" s="475"/>
    </row>
    <row r="30" spans="2:9" ht="14.4" thickBot="1">
      <c r="B30" s="575"/>
      <c r="C30" s="483" t="s">
        <v>14</v>
      </c>
      <c r="D30" s="483"/>
      <c r="E30" s="471" t="s">
        <v>24</v>
      </c>
      <c r="F30" s="483"/>
      <c r="G30" s="484">
        <v>5.91E-2</v>
      </c>
      <c r="I30" s="475"/>
    </row>
    <row r="31" spans="2:9" ht="5.0999999999999996" customHeight="1" thickBot="1">
      <c r="B31" s="487"/>
      <c r="I31" s="475"/>
    </row>
    <row r="32" spans="2:9" ht="15.6" thickBot="1">
      <c r="C32" s="488" t="s">
        <v>51</v>
      </c>
      <c r="E32" s="489" t="s">
        <v>16</v>
      </c>
      <c r="G32" s="484">
        <f>IF(G14="No",0,IF(E32="WACC1",WACC1,IF(E32="WACC2",WACC2,"Error")))</f>
        <v>5.91E-2</v>
      </c>
      <c r="I32" s="475"/>
    </row>
    <row r="33" spans="2:9" ht="5.0999999999999996" customHeight="1">
      <c r="B33" s="487"/>
      <c r="I33" s="475"/>
    </row>
    <row r="34" spans="2:9" ht="14.4" thickBot="1">
      <c r="B34" s="477" t="s">
        <v>25</v>
      </c>
      <c r="I34" s="475"/>
    </row>
    <row r="35" spans="2:9" ht="14.4" thickBot="1">
      <c r="C35" s="470" t="s">
        <v>2446</v>
      </c>
      <c r="E35" s="471" t="s">
        <v>2480</v>
      </c>
      <c r="G35" s="490">
        <f>(G38/G48)^(1/(E38-E48))-1</f>
        <v>1.8204777291069174E-2</v>
      </c>
      <c r="I35" s="473" t="s">
        <v>28</v>
      </c>
    </row>
    <row r="36" spans="2:9" ht="14.4" thickBot="1">
      <c r="C36" s="470" t="s">
        <v>2448</v>
      </c>
      <c r="E36" s="471" t="s">
        <v>2450</v>
      </c>
      <c r="G36" s="490">
        <f>(G38/G43)^(1/(E38-E43))-1</f>
        <v>1.618544396271826E-2</v>
      </c>
      <c r="I36" s="473" t="s">
        <v>2453</v>
      </c>
    </row>
    <row r="37" spans="2:9" ht="14.4" thickBot="1">
      <c r="C37" s="470" t="s">
        <v>2444</v>
      </c>
    </row>
    <row r="38" spans="2:9" ht="14.4" thickBot="1">
      <c r="E38" s="491">
        <f>YEAR</f>
        <v>2021</v>
      </c>
      <c r="G38" s="492">
        <v>119.78</v>
      </c>
      <c r="I38" s="473" t="s">
        <v>2484</v>
      </c>
    </row>
    <row r="39" spans="2:9" ht="14.4" thickBot="1">
      <c r="E39" s="491">
        <f>E38-1</f>
        <v>2020</v>
      </c>
      <c r="G39" s="492">
        <v>118.02</v>
      </c>
    </row>
    <row r="40" spans="2:9" ht="14.4" thickBot="1">
      <c r="E40" s="491">
        <f t="shared" ref="E40:E41" si="0">E39-1</f>
        <v>2019</v>
      </c>
      <c r="G40" s="492">
        <v>114.56</v>
      </c>
    </row>
    <row r="41" spans="2:9" ht="20.25" customHeight="1" thickBot="1">
      <c r="E41" s="491">
        <f t="shared" si="0"/>
        <v>2018</v>
      </c>
      <c r="G41" s="492">
        <v>112.03</v>
      </c>
    </row>
    <row r="42" spans="2:9" ht="20.25" customHeight="1" thickBot="1">
      <c r="E42" s="491">
        <f>E41-1</f>
        <v>2017</v>
      </c>
      <c r="G42" s="492">
        <v>110.64</v>
      </c>
    </row>
    <row r="43" spans="2:9" ht="20.25" customHeight="1" thickBot="1">
      <c r="E43" s="491">
        <f>E42-1</f>
        <v>2016</v>
      </c>
      <c r="G43" s="492">
        <v>110.54</v>
      </c>
    </row>
    <row r="44" spans="2:9" ht="20.25" customHeight="1" thickBot="1">
      <c r="E44" s="491">
        <f>E43-1</f>
        <v>2015</v>
      </c>
      <c r="G44" s="492"/>
    </row>
    <row r="45" spans="2:9" ht="14.4" thickBot="1">
      <c r="E45" s="491">
        <v>2014</v>
      </c>
      <c r="G45" s="492"/>
    </row>
    <row r="46" spans="2:9" ht="14.4" thickBot="1">
      <c r="E46" s="491">
        <v>2013</v>
      </c>
      <c r="G46" s="492"/>
    </row>
    <row r="47" spans="2:9" ht="14.4" thickBot="1">
      <c r="E47" s="491">
        <v>2012</v>
      </c>
      <c r="G47" s="492"/>
    </row>
    <row r="48" spans="2:9" ht="14.4" thickBot="1">
      <c r="E48" s="491">
        <v>2011</v>
      </c>
      <c r="G48" s="492">
        <v>100.0076</v>
      </c>
    </row>
    <row r="49" spans="3:9">
      <c r="G49" s="493"/>
    </row>
    <row r="50" spans="3:9" ht="5.0999999999999996" customHeight="1" thickBot="1">
      <c r="C50" s="483"/>
    </row>
    <row r="51" spans="3:9" ht="14.4" thickBot="1">
      <c r="C51" s="470" t="s">
        <v>2447</v>
      </c>
      <c r="E51" s="471" t="s">
        <v>2481</v>
      </c>
      <c r="G51" s="490">
        <f>(G54/G64)^(1/(E54-E64))-1</f>
        <v>2.0111853187589457E-2</v>
      </c>
      <c r="I51" s="494" t="s">
        <v>2445</v>
      </c>
    </row>
    <row r="52" spans="3:9" ht="14.4" thickBot="1">
      <c r="C52" s="470" t="s">
        <v>2449</v>
      </c>
      <c r="E52" s="471" t="s">
        <v>2451</v>
      </c>
      <c r="G52" s="490">
        <f>(G54/G59)^(1/(E54-E59))-1</f>
        <v>1.6516173457293837E-2</v>
      </c>
      <c r="I52" s="494" t="s">
        <v>2452</v>
      </c>
    </row>
    <row r="53" spans="3:9" ht="14.4" thickBot="1">
      <c r="E53" s="495"/>
      <c r="G53" s="495"/>
    </row>
    <row r="54" spans="3:9" ht="14.4" thickBot="1">
      <c r="E54" s="491">
        <f>YEAR</f>
        <v>2021</v>
      </c>
      <c r="G54" s="492">
        <v>117.52844863116896</v>
      </c>
      <c r="I54" s="494" t="s">
        <v>2483</v>
      </c>
    </row>
    <row r="55" spans="3:9" ht="14.4" thickBot="1">
      <c r="E55" s="491">
        <f>E54-1</f>
        <v>2020</v>
      </c>
      <c r="G55" s="492"/>
    </row>
    <row r="56" spans="3:9" ht="14.4" thickBot="1">
      <c r="E56" s="491">
        <f t="shared" ref="E56:E57" si="1">E55-1</f>
        <v>2019</v>
      </c>
      <c r="G56" s="492"/>
    </row>
    <row r="57" spans="3:9" ht="20.25" customHeight="1" thickBot="1">
      <c r="E57" s="491">
        <f t="shared" si="1"/>
        <v>2018</v>
      </c>
      <c r="G57" s="492"/>
    </row>
    <row r="58" spans="3:9" ht="20.25" customHeight="1" thickBot="1">
      <c r="E58" s="491">
        <f>E57-1</f>
        <v>2017</v>
      </c>
      <c r="G58" s="492"/>
    </row>
    <row r="59" spans="3:9" ht="20.25" customHeight="1" thickBot="1">
      <c r="E59" s="491">
        <f>E58-1</f>
        <v>2016</v>
      </c>
      <c r="G59" s="492">
        <v>108.28580733223882</v>
      </c>
    </row>
    <row r="60" spans="3:9" ht="20.25" customHeight="1" thickBot="1">
      <c r="E60" s="491">
        <f>E59-1</f>
        <v>2015</v>
      </c>
      <c r="G60" s="492"/>
    </row>
    <row r="61" spans="3:9" ht="14.4" thickBot="1">
      <c r="E61" s="491">
        <v>2014</v>
      </c>
      <c r="G61" s="492"/>
    </row>
    <row r="62" spans="3:9" ht="14.4" thickBot="1">
      <c r="E62" s="491">
        <v>2013</v>
      </c>
      <c r="G62" s="492"/>
    </row>
    <row r="63" spans="3:9" ht="14.4" thickBot="1">
      <c r="E63" s="491">
        <v>2012</v>
      </c>
      <c r="G63" s="492"/>
    </row>
    <row r="64" spans="3:9" ht="14.4" thickBot="1">
      <c r="E64" s="491">
        <v>2011</v>
      </c>
      <c r="G64" s="492">
        <v>96.308598892127009</v>
      </c>
    </row>
    <row r="65" spans="7:7" hidden="1"/>
    <row r="66" spans="7:7" ht="5.0999999999999996" hidden="1" customHeight="1">
      <c r="G66" s="474" t="e">
        <f>Chargeind</f>
        <v>#REF!</v>
      </c>
    </row>
    <row r="67" spans="7:7" hidden="1"/>
  </sheetData>
  <sheetProtection selectLockedCells="1"/>
  <mergeCells count="8">
    <mergeCell ref="B2:L2"/>
    <mergeCell ref="B4:K4"/>
    <mergeCell ref="B25:B30"/>
    <mergeCell ref="B21:B23"/>
    <mergeCell ref="B6:C6"/>
    <mergeCell ref="B16:C16"/>
    <mergeCell ref="B12:C12"/>
    <mergeCell ref="B3:C3"/>
  </mergeCells>
  <dataValidations count="2">
    <dataValidation type="list" allowBlank="1" showInputMessage="1" showErrorMessage="1" sqref="E32" xr:uid="{00000000-0002-0000-0100-000000000000}">
      <formula1>"WACC1,WACC2"</formula1>
    </dataValidation>
    <dataValidation type="list" allowBlank="1" showInputMessage="1" showErrorMessage="1" sqref="G14" xr:uid="{00000000-0002-0000-0100-000001000000}">
      <formula1>"Yes,No"</formula1>
    </dataValidation>
  </dataValidations>
  <hyperlinks>
    <hyperlink ref="B3" location="'Navigation Pane'!A1" display="Return to Navigation Pane" xr:uid="{00000000-0004-0000-0100-000000000000}"/>
  </hyperlinks>
  <pageMargins left="0.23622047244094491" right="0.23622047244094491" top="0.74803149606299213" bottom="0.74803149606299213" header="0.31496062992125984" footer="0.31496062992125984"/>
  <pageSetup paperSize="9" scale="60" fitToHeight="0" pageOrder="overThenDown" orientation="landscape" r:id="rId1"/>
  <headerFooter>
    <oddFooter>&amp;L&amp;"Arial,Regular"&amp;10Schedule of Works Model - Active and Public Transport Network - &amp;A
&amp;"Arial,Bold"&amp;K000000Effective 27th June 2025&amp;R&amp;"Arial,Regular"&amp;10Page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D1B1-727B-1846-BEF1-662F0106BA25}">
  <sheetPr codeName="Sheet2"/>
  <dimension ref="A1:U1481"/>
  <sheetViews>
    <sheetView tabSelected="1" zoomScale="70" zoomScaleNormal="70" workbookViewId="0">
      <pane ySplit="12" topLeftCell="A1475" activePane="bottomLeft" state="frozen"/>
      <selection activeCell="D8" sqref="D8:P9"/>
      <selection pane="bottomLeft" activeCell="D8" sqref="D8:P9"/>
    </sheetView>
  </sheetViews>
  <sheetFormatPr defaultColWidth="9" defaultRowHeight="13.8"/>
  <cols>
    <col min="1" max="1" width="2.59765625" style="30" customWidth="1"/>
    <col min="2" max="2" width="37.09765625" style="30" bestFit="1" customWidth="1"/>
    <col min="3" max="3" width="19.796875" style="30" bestFit="1" customWidth="1"/>
    <col min="4" max="5" width="60" style="30" bestFit="1" customWidth="1"/>
    <col min="6" max="6" width="91.296875" style="30" bestFit="1" customWidth="1"/>
    <col min="7" max="7" width="11" style="30" bestFit="1" customWidth="1"/>
    <col min="8" max="8" width="15.09765625" style="133" bestFit="1" customWidth="1"/>
    <col min="9" max="9" width="5" style="30" customWidth="1"/>
    <col min="10" max="10" width="6.09765625" style="30" bestFit="1" customWidth="1"/>
    <col min="11" max="11" width="20.59765625" style="116" bestFit="1" customWidth="1"/>
    <col min="12" max="12" width="5" style="30" customWidth="1"/>
    <col min="13" max="13" width="5" style="106" customWidth="1"/>
    <col min="14" max="14" width="5" style="30" customWidth="1"/>
    <col min="15" max="15" width="5.296875" style="133" bestFit="1" customWidth="1"/>
    <col min="16" max="16" width="5" style="134" bestFit="1" customWidth="1"/>
    <col min="17" max="17" width="7.5" style="30" bestFit="1" customWidth="1"/>
    <col min="18" max="18" width="12.59765625" style="116" bestFit="1" customWidth="1"/>
    <col min="19" max="19" width="16.09765625" style="135" customWidth="1"/>
    <col min="20" max="20" width="30.09765625" style="30" bestFit="1" customWidth="1"/>
    <col min="21" max="16384" width="9" style="30"/>
  </cols>
  <sheetData>
    <row r="1" spans="1:21" ht="14.4" thickBot="1">
      <c r="M1" s="30"/>
      <c r="O1" s="30"/>
    </row>
    <row r="2" spans="1:21" s="31" customFormat="1" ht="25.2" thickBot="1">
      <c r="B2" s="170" t="str">
        <f>'Navigation Pane'!B2</f>
        <v>Brisbane City Council</v>
      </c>
      <c r="C2" s="104"/>
      <c r="D2" s="104"/>
      <c r="E2" s="104"/>
      <c r="F2" s="104"/>
      <c r="G2" s="104"/>
      <c r="H2" s="187"/>
      <c r="I2" s="104"/>
      <c r="J2" s="104"/>
      <c r="K2" s="104"/>
      <c r="L2" s="104"/>
      <c r="M2" s="188"/>
      <c r="N2" s="104"/>
      <c r="O2" s="187"/>
      <c r="P2" s="104"/>
      <c r="Q2" s="104"/>
      <c r="R2" s="126"/>
      <c r="S2" s="127"/>
    </row>
    <row r="3" spans="1:21" s="31" customFormat="1" ht="25.2" thickBot="1">
      <c r="B3" s="170" t="s">
        <v>117</v>
      </c>
      <c r="C3" s="104"/>
      <c r="D3" s="104"/>
      <c r="E3" s="104"/>
      <c r="F3" s="104"/>
      <c r="G3" s="104"/>
      <c r="H3" s="187"/>
      <c r="I3" s="104"/>
      <c r="J3" s="104"/>
      <c r="K3" s="104"/>
      <c r="L3" s="104"/>
      <c r="M3" s="188"/>
      <c r="N3" s="104"/>
      <c r="O3" s="187"/>
      <c r="P3" s="104"/>
      <c r="Q3" s="104"/>
      <c r="R3" s="126"/>
      <c r="S3" s="127"/>
    </row>
    <row r="4" spans="1:21" s="31" customFormat="1" ht="29.25" customHeight="1" thickBot="1">
      <c r="A4" s="128"/>
      <c r="B4" s="412" t="s">
        <v>47</v>
      </c>
      <c r="C4" s="45"/>
      <c r="D4" s="129"/>
      <c r="H4" s="130"/>
      <c r="K4" s="126"/>
      <c r="M4" s="131"/>
      <c r="O4" s="130"/>
      <c r="P4" s="132"/>
      <c r="R4" s="126"/>
      <c r="S4" s="127"/>
    </row>
    <row r="5" spans="1:21" s="31" customFormat="1" ht="21" customHeight="1" thickBot="1">
      <c r="B5" s="189" t="s">
        <v>99</v>
      </c>
      <c r="C5" s="47"/>
      <c r="D5" s="47"/>
      <c r="E5" s="47"/>
      <c r="F5" s="47"/>
      <c r="G5" s="47"/>
      <c r="H5" s="168"/>
      <c r="I5" s="47"/>
      <c r="J5" s="47"/>
      <c r="K5" s="47"/>
      <c r="L5" s="47"/>
      <c r="M5" s="169"/>
      <c r="N5" s="47"/>
      <c r="O5" s="168"/>
      <c r="P5" s="47"/>
      <c r="Q5" s="47"/>
      <c r="R5" s="126"/>
      <c r="S5" s="127"/>
    </row>
    <row r="6" spans="1:21" ht="14.4" thickBot="1"/>
    <row r="7" spans="1:21" ht="14.4" thickBot="1">
      <c r="B7" s="581" t="s">
        <v>96</v>
      </c>
      <c r="C7" s="582"/>
      <c r="D7" s="153" t="s">
        <v>91</v>
      </c>
    </row>
    <row r="8" spans="1:21" ht="14.4" thickBot="1"/>
    <row r="9" spans="1:21" ht="14.4" thickBot="1">
      <c r="B9" s="107"/>
      <c r="C9" s="2"/>
      <c r="D9" s="2"/>
      <c r="E9" s="2"/>
      <c r="F9" s="2"/>
      <c r="G9" s="2"/>
      <c r="H9" s="42" t="s">
        <v>38</v>
      </c>
      <c r="I9" s="2"/>
      <c r="J9" s="2"/>
      <c r="K9" s="117"/>
      <c r="L9" s="2"/>
      <c r="M9" s="43"/>
      <c r="N9" s="2"/>
      <c r="O9" s="42"/>
      <c r="P9" s="121"/>
      <c r="Q9" s="2"/>
      <c r="R9" s="117"/>
      <c r="S9" s="123"/>
      <c r="T9" s="119" t="s">
        <v>104</v>
      </c>
    </row>
    <row r="10" spans="1:21" ht="15.75" customHeight="1" thickBot="1">
      <c r="B10" s="579" t="s">
        <v>70</v>
      </c>
      <c r="C10" s="580"/>
      <c r="D10" s="580"/>
      <c r="E10" s="580"/>
      <c r="F10" s="580"/>
      <c r="G10" s="579" t="s">
        <v>73</v>
      </c>
      <c r="H10" s="583"/>
      <c r="I10" s="579"/>
      <c r="J10" s="580" t="s">
        <v>71</v>
      </c>
      <c r="K10" s="580"/>
      <c r="L10" s="580"/>
      <c r="M10" s="584"/>
      <c r="N10" s="579"/>
      <c r="O10" s="585" t="s">
        <v>87</v>
      </c>
      <c r="P10" s="580"/>
      <c r="Q10" s="580"/>
      <c r="R10" s="579"/>
      <c r="S10" s="580" t="s">
        <v>72</v>
      </c>
      <c r="T10" s="389" t="s">
        <v>113</v>
      </c>
    </row>
    <row r="11" spans="1:21" ht="106.35" customHeight="1" thickBot="1">
      <c r="B11" s="384" t="s">
        <v>32</v>
      </c>
      <c r="C11" s="354" t="s">
        <v>68</v>
      </c>
      <c r="D11" s="307" t="s">
        <v>37</v>
      </c>
      <c r="E11" s="307" t="s">
        <v>33</v>
      </c>
      <c r="F11" s="307" t="s">
        <v>34</v>
      </c>
      <c r="G11" s="307" t="s">
        <v>74</v>
      </c>
      <c r="H11" s="362" t="s">
        <v>2075</v>
      </c>
      <c r="I11" s="356" t="s">
        <v>2426</v>
      </c>
      <c r="J11" s="310" t="s">
        <v>2456</v>
      </c>
      <c r="K11" s="308" t="s">
        <v>2454</v>
      </c>
      <c r="L11" s="307" t="s">
        <v>85</v>
      </c>
      <c r="M11" s="357" t="s">
        <v>67</v>
      </c>
      <c r="N11" s="356" t="s">
        <v>93</v>
      </c>
      <c r="O11" s="358" t="s">
        <v>97</v>
      </c>
      <c r="P11" s="363" t="s">
        <v>2455</v>
      </c>
      <c r="Q11" s="360" t="s">
        <v>2443</v>
      </c>
      <c r="R11" s="308" t="s">
        <v>94</v>
      </c>
      <c r="S11" s="361" t="s">
        <v>36</v>
      </c>
      <c r="T11" s="309" t="s">
        <v>100</v>
      </c>
    </row>
    <row r="12" spans="1:21" s="32" customFormat="1" ht="51" customHeight="1" thickBot="1">
      <c r="B12" s="385" t="s">
        <v>76</v>
      </c>
      <c r="C12" s="154" t="s">
        <v>69</v>
      </c>
      <c r="D12" s="155" t="s">
        <v>98</v>
      </c>
      <c r="E12" s="155"/>
      <c r="F12" s="156"/>
      <c r="G12" s="157"/>
      <c r="H12" s="158"/>
      <c r="I12" s="157"/>
      <c r="J12" s="156"/>
      <c r="K12" s="159" t="s">
        <v>102</v>
      </c>
      <c r="L12" s="160"/>
      <c r="M12" s="161"/>
      <c r="N12" s="157"/>
      <c r="O12" s="162"/>
      <c r="P12" s="163"/>
      <c r="Q12" s="160"/>
      <c r="R12" s="164"/>
      <c r="S12" s="165"/>
      <c r="T12" s="166"/>
      <c r="U12" s="190"/>
    </row>
    <row r="13" spans="1:21">
      <c r="B13" s="386" t="s">
        <v>118</v>
      </c>
      <c r="C13" s="108"/>
      <c r="D13" s="109" t="s">
        <v>1546</v>
      </c>
      <c r="E13" s="109" t="s">
        <v>1548</v>
      </c>
      <c r="F13" s="109"/>
      <c r="G13" s="110" t="s">
        <v>2072</v>
      </c>
      <c r="H13" s="141">
        <v>17.436582000000001</v>
      </c>
      <c r="I13" s="280"/>
      <c r="J13" s="72">
        <v>151.88</v>
      </c>
      <c r="K13" s="271">
        <f>J13*H13</f>
        <v>2648.2680741600002</v>
      </c>
      <c r="L13" s="111"/>
      <c r="M13" s="73"/>
      <c r="N13" s="115"/>
      <c r="O13" s="285"/>
      <c r="P13" s="311">
        <v>0</v>
      </c>
      <c r="Q13" s="287">
        <f>IFERROR(R13/P13,0)</f>
        <v>0</v>
      </c>
      <c r="R13" s="286">
        <v>0</v>
      </c>
      <c r="S13" s="282">
        <v>2016</v>
      </c>
      <c r="T13" s="287">
        <f t="shared" ref="T13:T76" si="0">IFERROR(ROUND((K13*(1+PPI_Existing)^(YEAR-S13))+(R13*((1+LandInd_Existing)^(YEAR-S13))),0),0)</f>
        <v>2870</v>
      </c>
    </row>
    <row r="14" spans="1:21">
      <c r="B14" s="386" t="s">
        <v>119</v>
      </c>
      <c r="C14" s="114"/>
      <c r="D14" s="111" t="s">
        <v>1546</v>
      </c>
      <c r="E14" s="111" t="s">
        <v>1548</v>
      </c>
      <c r="F14" s="111"/>
      <c r="G14" s="110" t="s">
        <v>2072</v>
      </c>
      <c r="H14" s="141">
        <v>7.8325699999999996</v>
      </c>
      <c r="I14" s="280"/>
      <c r="J14" s="72">
        <v>151.88</v>
      </c>
      <c r="K14" s="271">
        <f t="shared" ref="K14:K75" si="1">J14*H14</f>
        <v>1189.6107316</v>
      </c>
      <c r="L14" s="111"/>
      <c r="M14" s="73"/>
      <c r="N14" s="112"/>
      <c r="O14" s="111"/>
      <c r="P14" s="312">
        <v>0</v>
      </c>
      <c r="Q14" s="288">
        <f t="shared" ref="Q14:Q75" si="2">IFERROR(R14/P14,0)</f>
        <v>0</v>
      </c>
      <c r="R14" s="118">
        <v>0</v>
      </c>
      <c r="S14" s="283">
        <v>2016</v>
      </c>
      <c r="T14" s="288">
        <f t="shared" si="0"/>
        <v>1289</v>
      </c>
    </row>
    <row r="15" spans="1:21">
      <c r="B15" s="386" t="s">
        <v>120</v>
      </c>
      <c r="C15" s="114"/>
      <c r="D15" s="111" t="s">
        <v>1546</v>
      </c>
      <c r="E15" s="111" t="s">
        <v>1548</v>
      </c>
      <c r="F15" s="111"/>
      <c r="G15" s="110" t="s">
        <v>2073</v>
      </c>
      <c r="H15" s="141">
        <v>124.402067</v>
      </c>
      <c r="I15" s="280"/>
      <c r="J15" s="72">
        <v>148.52000000000001</v>
      </c>
      <c r="K15" s="271">
        <f t="shared" si="1"/>
        <v>18476.194990840002</v>
      </c>
      <c r="L15" s="111"/>
      <c r="M15" s="73"/>
      <c r="N15" s="112"/>
      <c r="O15" s="111"/>
      <c r="P15" s="312">
        <v>0</v>
      </c>
      <c r="Q15" s="288">
        <f t="shared" si="2"/>
        <v>0</v>
      </c>
      <c r="R15" s="118">
        <v>0</v>
      </c>
      <c r="S15" s="283">
        <v>2016</v>
      </c>
      <c r="T15" s="288">
        <f t="shared" si="0"/>
        <v>20021</v>
      </c>
    </row>
    <row r="16" spans="1:21">
      <c r="B16" s="386" t="s">
        <v>121</v>
      </c>
      <c r="C16" s="114"/>
      <c r="D16" s="111" t="s">
        <v>1546</v>
      </c>
      <c r="E16" s="111" t="s">
        <v>1548</v>
      </c>
      <c r="F16" s="111"/>
      <c r="G16" s="110" t="s">
        <v>2072</v>
      </c>
      <c r="H16" s="141">
        <v>622.83127000000002</v>
      </c>
      <c r="I16" s="280"/>
      <c r="J16" s="72">
        <v>151.88</v>
      </c>
      <c r="K16" s="271">
        <f>J16*H16</f>
        <v>94595.613287600005</v>
      </c>
      <c r="L16" s="111"/>
      <c r="M16" s="73"/>
      <c r="N16" s="112"/>
      <c r="O16" s="111"/>
      <c r="P16" s="312">
        <v>0</v>
      </c>
      <c r="Q16" s="288">
        <f t="shared" si="2"/>
        <v>0</v>
      </c>
      <c r="R16" s="118">
        <v>0</v>
      </c>
      <c r="S16" s="283">
        <v>2016</v>
      </c>
      <c r="T16" s="288">
        <f t="shared" si="0"/>
        <v>102503</v>
      </c>
    </row>
    <row r="17" spans="2:20">
      <c r="B17" s="386" t="s">
        <v>122</v>
      </c>
      <c r="C17" s="114"/>
      <c r="D17" s="111" t="s">
        <v>1546</v>
      </c>
      <c r="E17" s="111" t="s">
        <v>1548</v>
      </c>
      <c r="F17" s="111"/>
      <c r="G17" s="110" t="s">
        <v>2072</v>
      </c>
      <c r="H17" s="141">
        <v>208.00930700000001</v>
      </c>
      <c r="I17" s="280"/>
      <c r="J17" s="72">
        <v>151.88</v>
      </c>
      <c r="K17" s="271">
        <f t="shared" si="1"/>
        <v>31592.453547159999</v>
      </c>
      <c r="L17" s="111"/>
      <c r="M17" s="73"/>
      <c r="N17" s="112"/>
      <c r="O17" s="111"/>
      <c r="P17" s="312">
        <v>0</v>
      </c>
      <c r="Q17" s="288">
        <f t="shared" si="2"/>
        <v>0</v>
      </c>
      <c r="R17" s="118">
        <v>0</v>
      </c>
      <c r="S17" s="283">
        <v>2016</v>
      </c>
      <c r="T17" s="288">
        <f t="shared" si="0"/>
        <v>34233</v>
      </c>
    </row>
    <row r="18" spans="2:20">
      <c r="B18" s="386" t="s">
        <v>123</v>
      </c>
      <c r="C18" s="114"/>
      <c r="D18" s="111" t="s">
        <v>1546</v>
      </c>
      <c r="E18" s="111" t="s">
        <v>1548</v>
      </c>
      <c r="F18" s="111"/>
      <c r="G18" s="110" t="s">
        <v>2073</v>
      </c>
      <c r="H18" s="141">
        <v>15.086657000000001</v>
      </c>
      <c r="I18" s="280"/>
      <c r="J18" s="72">
        <v>148.52000000000001</v>
      </c>
      <c r="K18" s="271">
        <f t="shared" si="1"/>
        <v>2240.6702976400002</v>
      </c>
      <c r="L18" s="111"/>
      <c r="M18" s="73"/>
      <c r="N18" s="112"/>
      <c r="O18" s="111"/>
      <c r="P18" s="312">
        <v>0</v>
      </c>
      <c r="Q18" s="288">
        <f t="shared" si="2"/>
        <v>0</v>
      </c>
      <c r="R18" s="118">
        <v>0</v>
      </c>
      <c r="S18" s="283">
        <v>2016</v>
      </c>
      <c r="T18" s="288">
        <f t="shared" si="0"/>
        <v>2428</v>
      </c>
    </row>
    <row r="19" spans="2:20">
      <c r="B19" s="386" t="s">
        <v>124</v>
      </c>
      <c r="C19" s="114"/>
      <c r="D19" s="111" t="s">
        <v>1546</v>
      </c>
      <c r="E19" s="111" t="s">
        <v>1548</v>
      </c>
      <c r="F19" s="111"/>
      <c r="G19" s="110" t="s">
        <v>2073</v>
      </c>
      <c r="H19" s="141">
        <v>317.57944700000002</v>
      </c>
      <c r="I19" s="280"/>
      <c r="J19" s="72">
        <v>148.52000000000001</v>
      </c>
      <c r="K19" s="271">
        <f t="shared" si="1"/>
        <v>47166.899468440002</v>
      </c>
      <c r="L19" s="111"/>
      <c r="M19" s="73"/>
      <c r="N19" s="112"/>
      <c r="O19" s="111"/>
      <c r="P19" s="312">
        <v>0</v>
      </c>
      <c r="Q19" s="288">
        <f t="shared" si="2"/>
        <v>0</v>
      </c>
      <c r="R19" s="118">
        <v>0</v>
      </c>
      <c r="S19" s="283">
        <v>2016</v>
      </c>
      <c r="T19" s="288">
        <f t="shared" si="0"/>
        <v>51110</v>
      </c>
    </row>
    <row r="20" spans="2:20">
      <c r="B20" s="386" t="s">
        <v>125</v>
      </c>
      <c r="C20" s="114"/>
      <c r="D20" s="111" t="s">
        <v>1546</v>
      </c>
      <c r="E20" s="111" t="s">
        <v>1548</v>
      </c>
      <c r="F20" s="111"/>
      <c r="G20" s="110" t="s">
        <v>2074</v>
      </c>
      <c r="H20" s="141">
        <v>65.351290000000006</v>
      </c>
      <c r="I20" s="280"/>
      <c r="J20" s="72">
        <v>148.52000000000001</v>
      </c>
      <c r="K20" s="271">
        <f t="shared" si="1"/>
        <v>9705.9735908000021</v>
      </c>
      <c r="L20" s="111"/>
      <c r="M20" s="73"/>
      <c r="N20" s="112"/>
      <c r="O20" s="111"/>
      <c r="P20" s="312">
        <v>0</v>
      </c>
      <c r="Q20" s="288">
        <f t="shared" si="2"/>
        <v>0</v>
      </c>
      <c r="R20" s="118">
        <v>0</v>
      </c>
      <c r="S20" s="283">
        <v>2016</v>
      </c>
      <c r="T20" s="288">
        <f t="shared" si="0"/>
        <v>10517</v>
      </c>
    </row>
    <row r="21" spans="2:20">
      <c r="B21" s="386" t="s">
        <v>126</v>
      </c>
      <c r="C21" s="114"/>
      <c r="D21" s="111" t="s">
        <v>1546</v>
      </c>
      <c r="E21" s="111" t="s">
        <v>1548</v>
      </c>
      <c r="F21" s="111"/>
      <c r="G21" s="110" t="s">
        <v>2072</v>
      </c>
      <c r="H21" s="141">
        <v>2799.7651420000002</v>
      </c>
      <c r="I21" s="280"/>
      <c r="J21" s="72">
        <v>151.88</v>
      </c>
      <c r="K21" s="271">
        <f t="shared" si="1"/>
        <v>425228.32976696</v>
      </c>
      <c r="L21" s="111"/>
      <c r="M21" s="73"/>
      <c r="N21" s="112"/>
      <c r="O21" s="111"/>
      <c r="P21" s="312">
        <v>0</v>
      </c>
      <c r="Q21" s="288">
        <f t="shared" si="2"/>
        <v>0</v>
      </c>
      <c r="R21" s="118">
        <v>0</v>
      </c>
      <c r="S21" s="283">
        <v>2016</v>
      </c>
      <c r="T21" s="288">
        <f t="shared" si="0"/>
        <v>460773</v>
      </c>
    </row>
    <row r="22" spans="2:20">
      <c r="B22" s="386" t="s">
        <v>127</v>
      </c>
      <c r="C22" s="114"/>
      <c r="D22" s="111" t="s">
        <v>1546</v>
      </c>
      <c r="E22" s="111" t="s">
        <v>1548</v>
      </c>
      <c r="F22" s="111"/>
      <c r="G22" s="110" t="s">
        <v>2072</v>
      </c>
      <c r="H22" s="141">
        <v>21.876000999999999</v>
      </c>
      <c r="I22" s="280"/>
      <c r="J22" s="72">
        <v>151.88</v>
      </c>
      <c r="K22" s="271">
        <f t="shared" si="1"/>
        <v>3322.5270318799999</v>
      </c>
      <c r="L22" s="111"/>
      <c r="M22" s="73"/>
      <c r="N22" s="112"/>
      <c r="O22" s="111"/>
      <c r="P22" s="312">
        <v>0</v>
      </c>
      <c r="Q22" s="288">
        <f t="shared" si="2"/>
        <v>0</v>
      </c>
      <c r="R22" s="118">
        <v>0</v>
      </c>
      <c r="S22" s="283">
        <v>2016</v>
      </c>
      <c r="T22" s="288">
        <f t="shared" si="0"/>
        <v>3600</v>
      </c>
    </row>
    <row r="23" spans="2:20">
      <c r="B23" s="386" t="s">
        <v>128</v>
      </c>
      <c r="C23" s="114"/>
      <c r="D23" s="111" t="s">
        <v>1546</v>
      </c>
      <c r="E23" s="111" t="s">
        <v>1549</v>
      </c>
      <c r="F23" s="111"/>
      <c r="G23" s="110" t="s">
        <v>2073</v>
      </c>
      <c r="H23" s="141">
        <v>50.259332999999998</v>
      </c>
      <c r="I23" s="280"/>
      <c r="J23" s="72">
        <v>148.52000000000001</v>
      </c>
      <c r="K23" s="271">
        <f t="shared" si="1"/>
        <v>7464.5161371600007</v>
      </c>
      <c r="L23" s="111"/>
      <c r="M23" s="73"/>
      <c r="N23" s="112"/>
      <c r="O23" s="111"/>
      <c r="P23" s="312">
        <v>0</v>
      </c>
      <c r="Q23" s="288">
        <f t="shared" si="2"/>
        <v>0</v>
      </c>
      <c r="R23" s="118">
        <v>0</v>
      </c>
      <c r="S23" s="283">
        <v>2016</v>
      </c>
      <c r="T23" s="288">
        <f t="shared" si="0"/>
        <v>8088</v>
      </c>
    </row>
    <row r="24" spans="2:20">
      <c r="B24" s="386" t="s">
        <v>129</v>
      </c>
      <c r="C24" s="114"/>
      <c r="D24" s="111" t="s">
        <v>1546</v>
      </c>
      <c r="E24" s="111" t="s">
        <v>1549</v>
      </c>
      <c r="F24" s="111"/>
      <c r="G24" s="110" t="s">
        <v>2073</v>
      </c>
      <c r="H24" s="141">
        <v>133.06881300000001</v>
      </c>
      <c r="I24" s="280"/>
      <c r="J24" s="72">
        <v>148.52000000000001</v>
      </c>
      <c r="K24" s="271">
        <f t="shared" si="1"/>
        <v>19763.380106760003</v>
      </c>
      <c r="L24" s="111"/>
      <c r="M24" s="73"/>
      <c r="N24" s="112"/>
      <c r="O24" s="111"/>
      <c r="P24" s="312">
        <v>0</v>
      </c>
      <c r="Q24" s="288">
        <f t="shared" si="2"/>
        <v>0</v>
      </c>
      <c r="R24" s="118">
        <v>0</v>
      </c>
      <c r="S24" s="283">
        <v>2016</v>
      </c>
      <c r="T24" s="288">
        <f t="shared" si="0"/>
        <v>21415</v>
      </c>
    </row>
    <row r="25" spans="2:20">
      <c r="B25" s="386" t="s">
        <v>130</v>
      </c>
      <c r="C25" s="114"/>
      <c r="D25" s="111" t="s">
        <v>1546</v>
      </c>
      <c r="E25" s="111" t="s">
        <v>1549</v>
      </c>
      <c r="F25" s="111"/>
      <c r="G25" s="110" t="s">
        <v>2073</v>
      </c>
      <c r="H25" s="141">
        <v>340.62394399999999</v>
      </c>
      <c r="I25" s="280"/>
      <c r="J25" s="72">
        <v>148.52000000000001</v>
      </c>
      <c r="K25" s="271">
        <f t="shared" si="1"/>
        <v>50589.468162880003</v>
      </c>
      <c r="L25" s="111"/>
      <c r="M25" s="73"/>
      <c r="N25" s="112"/>
      <c r="O25" s="111"/>
      <c r="P25" s="312">
        <v>0</v>
      </c>
      <c r="Q25" s="288">
        <f t="shared" si="2"/>
        <v>0</v>
      </c>
      <c r="R25" s="118">
        <v>0</v>
      </c>
      <c r="S25" s="283">
        <v>2016</v>
      </c>
      <c r="T25" s="288">
        <f t="shared" si="0"/>
        <v>54818</v>
      </c>
    </row>
    <row r="26" spans="2:20">
      <c r="B26" s="386" t="s">
        <v>131</v>
      </c>
      <c r="C26" s="114"/>
      <c r="D26" s="111" t="s">
        <v>1546</v>
      </c>
      <c r="E26" s="111" t="s">
        <v>1550</v>
      </c>
      <c r="F26" s="111"/>
      <c r="G26" s="110" t="s">
        <v>2073</v>
      </c>
      <c r="H26" s="141">
        <v>58.038825000000003</v>
      </c>
      <c r="I26" s="280"/>
      <c r="J26" s="72">
        <v>148.52000000000001</v>
      </c>
      <c r="K26" s="271">
        <f t="shared" si="1"/>
        <v>8619.9262890000009</v>
      </c>
      <c r="L26" s="111"/>
      <c r="M26" s="73"/>
      <c r="N26" s="112"/>
      <c r="O26" s="111"/>
      <c r="P26" s="312">
        <v>0</v>
      </c>
      <c r="Q26" s="288">
        <f t="shared" si="2"/>
        <v>0</v>
      </c>
      <c r="R26" s="118">
        <v>0</v>
      </c>
      <c r="S26" s="283">
        <v>2016</v>
      </c>
      <c r="T26" s="288">
        <f t="shared" si="0"/>
        <v>9340</v>
      </c>
    </row>
    <row r="27" spans="2:20">
      <c r="B27" s="386" t="s">
        <v>132</v>
      </c>
      <c r="C27" s="114"/>
      <c r="D27" s="111" t="s">
        <v>1546</v>
      </c>
      <c r="E27" s="111" t="s">
        <v>1551</v>
      </c>
      <c r="F27" s="111"/>
      <c r="G27" s="110" t="s">
        <v>2074</v>
      </c>
      <c r="H27" s="141">
        <v>214.66651999999999</v>
      </c>
      <c r="I27" s="280"/>
      <c r="J27" s="72">
        <v>148.52000000000001</v>
      </c>
      <c r="K27" s="271">
        <f t="shared" si="1"/>
        <v>31882.271550400001</v>
      </c>
      <c r="L27" s="111"/>
      <c r="M27" s="73"/>
      <c r="N27" s="112"/>
      <c r="O27" s="111"/>
      <c r="P27" s="312">
        <v>0</v>
      </c>
      <c r="Q27" s="288">
        <f t="shared" si="2"/>
        <v>0</v>
      </c>
      <c r="R27" s="118">
        <v>0</v>
      </c>
      <c r="S27" s="283">
        <v>2016</v>
      </c>
      <c r="T27" s="288">
        <f t="shared" si="0"/>
        <v>34547</v>
      </c>
    </row>
    <row r="28" spans="2:20">
      <c r="B28" s="386" t="s">
        <v>133</v>
      </c>
      <c r="C28" s="114"/>
      <c r="D28" s="111" t="s">
        <v>1547</v>
      </c>
      <c r="E28" s="111" t="s">
        <v>1552</v>
      </c>
      <c r="F28" s="111"/>
      <c r="G28" s="110" t="s">
        <v>2073</v>
      </c>
      <c r="H28" s="141">
        <v>487.02384799999999</v>
      </c>
      <c r="I28" s="280"/>
      <c r="J28" s="72">
        <v>148.52000000000001</v>
      </c>
      <c r="K28" s="271">
        <f t="shared" si="1"/>
        <v>72332.781904960008</v>
      </c>
      <c r="L28" s="111"/>
      <c r="M28" s="73"/>
      <c r="N28" s="112"/>
      <c r="O28" s="111"/>
      <c r="P28" s="312">
        <v>68.525420699999998</v>
      </c>
      <c r="Q28" s="288">
        <f t="shared" si="2"/>
        <v>11241.173277466651</v>
      </c>
      <c r="R28" s="118">
        <v>770306.12800000003</v>
      </c>
      <c r="S28" s="283">
        <v>2016</v>
      </c>
      <c r="T28" s="288">
        <f t="shared" si="0"/>
        <v>914434</v>
      </c>
    </row>
    <row r="29" spans="2:20">
      <c r="B29" s="386" t="s">
        <v>134</v>
      </c>
      <c r="C29" s="114"/>
      <c r="D29" s="111" t="s">
        <v>1546</v>
      </c>
      <c r="E29" s="111" t="s">
        <v>1553</v>
      </c>
      <c r="F29" s="111"/>
      <c r="G29" s="110" t="s">
        <v>2073</v>
      </c>
      <c r="H29" s="141">
        <v>43.311435000000003</v>
      </c>
      <c r="I29" s="280"/>
      <c r="J29" s="72">
        <v>148.52000000000001</v>
      </c>
      <c r="K29" s="271">
        <f t="shared" si="1"/>
        <v>6432.6143262000005</v>
      </c>
      <c r="L29" s="111"/>
      <c r="M29" s="73"/>
      <c r="N29" s="112"/>
      <c r="O29" s="111"/>
      <c r="P29" s="312">
        <v>0</v>
      </c>
      <c r="Q29" s="288">
        <f t="shared" si="2"/>
        <v>0</v>
      </c>
      <c r="R29" s="118">
        <v>0</v>
      </c>
      <c r="S29" s="283">
        <v>2016</v>
      </c>
      <c r="T29" s="288">
        <f t="shared" si="0"/>
        <v>6970</v>
      </c>
    </row>
    <row r="30" spans="2:20">
      <c r="B30" s="386" t="s">
        <v>135</v>
      </c>
      <c r="C30" s="114"/>
      <c r="D30" s="111" t="s">
        <v>1547</v>
      </c>
      <c r="E30" s="111" t="s">
        <v>1553</v>
      </c>
      <c r="F30" s="111"/>
      <c r="G30" s="110" t="s">
        <v>2073</v>
      </c>
      <c r="H30" s="141">
        <v>46.407451999999999</v>
      </c>
      <c r="I30" s="280"/>
      <c r="J30" s="72">
        <v>148.52000000000001</v>
      </c>
      <c r="K30" s="271">
        <f t="shared" si="1"/>
        <v>6892.4347710400007</v>
      </c>
      <c r="L30" s="111"/>
      <c r="M30" s="73"/>
      <c r="N30" s="112"/>
      <c r="O30" s="111"/>
      <c r="P30" s="312">
        <v>0</v>
      </c>
      <c r="Q30" s="288">
        <f t="shared" si="2"/>
        <v>0</v>
      </c>
      <c r="R30" s="118">
        <v>0</v>
      </c>
      <c r="S30" s="283">
        <v>2016</v>
      </c>
      <c r="T30" s="288">
        <f t="shared" si="0"/>
        <v>7469</v>
      </c>
    </row>
    <row r="31" spans="2:20">
      <c r="B31" s="386" t="s">
        <v>136</v>
      </c>
      <c r="C31" s="114"/>
      <c r="D31" s="111" t="s">
        <v>1546</v>
      </c>
      <c r="E31" s="111" t="s">
        <v>1554</v>
      </c>
      <c r="F31" s="111"/>
      <c r="G31" s="110" t="s">
        <v>2073</v>
      </c>
      <c r="H31" s="141">
        <v>187.382473</v>
      </c>
      <c r="I31" s="280"/>
      <c r="J31" s="72">
        <v>148.52000000000001</v>
      </c>
      <c r="K31" s="271">
        <f t="shared" si="1"/>
        <v>27830.044889960001</v>
      </c>
      <c r="L31" s="111"/>
      <c r="M31" s="73"/>
      <c r="N31" s="112"/>
      <c r="O31" s="111"/>
      <c r="P31" s="312">
        <v>0</v>
      </c>
      <c r="Q31" s="288">
        <f t="shared" si="2"/>
        <v>0</v>
      </c>
      <c r="R31" s="118">
        <v>0</v>
      </c>
      <c r="S31" s="283">
        <v>2016</v>
      </c>
      <c r="T31" s="288">
        <f t="shared" si="0"/>
        <v>30156</v>
      </c>
    </row>
    <row r="32" spans="2:20">
      <c r="B32" s="386" t="s">
        <v>137</v>
      </c>
      <c r="C32" s="114"/>
      <c r="D32" s="111" t="s">
        <v>1546</v>
      </c>
      <c r="E32" s="111" t="s">
        <v>1555</v>
      </c>
      <c r="F32" s="111"/>
      <c r="G32" s="110" t="s">
        <v>2073</v>
      </c>
      <c r="H32" s="141">
        <v>408.94832500000001</v>
      </c>
      <c r="I32" s="280"/>
      <c r="J32" s="72">
        <v>148.52000000000001</v>
      </c>
      <c r="K32" s="271">
        <f t="shared" si="1"/>
        <v>60737.005229000009</v>
      </c>
      <c r="L32" s="111"/>
      <c r="M32" s="73"/>
      <c r="N32" s="112"/>
      <c r="O32" s="111"/>
      <c r="P32" s="312">
        <v>0</v>
      </c>
      <c r="Q32" s="288">
        <f t="shared" si="2"/>
        <v>0</v>
      </c>
      <c r="R32" s="118">
        <v>0</v>
      </c>
      <c r="S32" s="283">
        <v>2016</v>
      </c>
      <c r="T32" s="288">
        <f t="shared" si="0"/>
        <v>65814</v>
      </c>
    </row>
    <row r="33" spans="2:20">
      <c r="B33" s="386" t="s">
        <v>138</v>
      </c>
      <c r="C33" s="114"/>
      <c r="D33" s="111" t="s">
        <v>1546</v>
      </c>
      <c r="E33" s="111" t="s">
        <v>1555</v>
      </c>
      <c r="F33" s="111"/>
      <c r="G33" s="110" t="s">
        <v>2073</v>
      </c>
      <c r="H33" s="141">
        <v>196.96618699999999</v>
      </c>
      <c r="I33" s="280"/>
      <c r="J33" s="72">
        <v>148.52000000000001</v>
      </c>
      <c r="K33" s="271">
        <f t="shared" si="1"/>
        <v>29253.418093240001</v>
      </c>
      <c r="L33" s="111"/>
      <c r="M33" s="73"/>
      <c r="N33" s="112"/>
      <c r="O33" s="111"/>
      <c r="P33" s="312">
        <v>0</v>
      </c>
      <c r="Q33" s="288">
        <f t="shared" si="2"/>
        <v>0</v>
      </c>
      <c r="R33" s="118">
        <v>0</v>
      </c>
      <c r="S33" s="283">
        <v>2016</v>
      </c>
      <c r="T33" s="288">
        <f t="shared" si="0"/>
        <v>31699</v>
      </c>
    </row>
    <row r="34" spans="2:20">
      <c r="B34" s="386" t="s">
        <v>139</v>
      </c>
      <c r="C34" s="114"/>
      <c r="D34" s="111" t="s">
        <v>1546</v>
      </c>
      <c r="E34" s="111" t="s">
        <v>1556</v>
      </c>
      <c r="F34" s="111"/>
      <c r="G34" s="110" t="s">
        <v>2074</v>
      </c>
      <c r="H34" s="141">
        <v>508.056083</v>
      </c>
      <c r="I34" s="280"/>
      <c r="J34" s="72">
        <v>148.52000000000001</v>
      </c>
      <c r="K34" s="271">
        <f t="shared" si="1"/>
        <v>75456.489447159998</v>
      </c>
      <c r="L34" s="111"/>
      <c r="M34" s="73"/>
      <c r="N34" s="112"/>
      <c r="O34" s="111"/>
      <c r="P34" s="312">
        <v>0</v>
      </c>
      <c r="Q34" s="288">
        <f t="shared" si="2"/>
        <v>0</v>
      </c>
      <c r="R34" s="118">
        <v>0</v>
      </c>
      <c r="S34" s="283">
        <v>2016</v>
      </c>
      <c r="T34" s="288">
        <f t="shared" si="0"/>
        <v>81764</v>
      </c>
    </row>
    <row r="35" spans="2:20">
      <c r="B35" s="386" t="s">
        <v>140</v>
      </c>
      <c r="C35" s="114"/>
      <c r="D35" s="111" t="s">
        <v>1546</v>
      </c>
      <c r="E35" s="111" t="s">
        <v>1556</v>
      </c>
      <c r="F35" s="111"/>
      <c r="G35" s="110" t="s">
        <v>2074</v>
      </c>
      <c r="H35" s="141">
        <v>547.13912700000003</v>
      </c>
      <c r="I35" s="280"/>
      <c r="J35" s="72">
        <v>148.52000000000001</v>
      </c>
      <c r="K35" s="271">
        <f t="shared" si="1"/>
        <v>81261.10314204001</v>
      </c>
      <c r="L35" s="111"/>
      <c r="M35" s="73"/>
      <c r="N35" s="112"/>
      <c r="O35" s="111"/>
      <c r="P35" s="312">
        <v>0</v>
      </c>
      <c r="Q35" s="288">
        <f t="shared" si="2"/>
        <v>0</v>
      </c>
      <c r="R35" s="118">
        <v>0</v>
      </c>
      <c r="S35" s="283">
        <v>2016</v>
      </c>
      <c r="T35" s="288">
        <f t="shared" si="0"/>
        <v>88054</v>
      </c>
    </row>
    <row r="36" spans="2:20">
      <c r="B36" s="386" t="s">
        <v>141</v>
      </c>
      <c r="C36" s="114"/>
      <c r="D36" s="111" t="s">
        <v>1546</v>
      </c>
      <c r="E36" s="111" t="s">
        <v>1556</v>
      </c>
      <c r="F36" s="111"/>
      <c r="G36" s="110" t="s">
        <v>2074</v>
      </c>
      <c r="H36" s="141">
        <v>176.90237999999999</v>
      </c>
      <c r="I36" s="280"/>
      <c r="J36" s="72">
        <v>148.52000000000001</v>
      </c>
      <c r="K36" s="271">
        <f t="shared" si="1"/>
        <v>26273.5414776</v>
      </c>
      <c r="L36" s="111"/>
      <c r="M36" s="73"/>
      <c r="N36" s="112"/>
      <c r="O36" s="111"/>
      <c r="P36" s="312">
        <v>0</v>
      </c>
      <c r="Q36" s="288">
        <f t="shared" si="2"/>
        <v>0</v>
      </c>
      <c r="R36" s="118">
        <v>0</v>
      </c>
      <c r="S36" s="283">
        <v>2016</v>
      </c>
      <c r="T36" s="288">
        <f t="shared" si="0"/>
        <v>28470</v>
      </c>
    </row>
    <row r="37" spans="2:20">
      <c r="B37" s="386" t="s">
        <v>142</v>
      </c>
      <c r="C37" s="114"/>
      <c r="D37" s="111" t="s">
        <v>1546</v>
      </c>
      <c r="E37" s="111" t="s">
        <v>1556</v>
      </c>
      <c r="F37" s="111"/>
      <c r="G37" s="110" t="s">
        <v>2073</v>
      </c>
      <c r="H37" s="141">
        <v>27.061471999999998</v>
      </c>
      <c r="I37" s="280"/>
      <c r="J37" s="72">
        <v>148.52000000000001</v>
      </c>
      <c r="K37" s="271">
        <f t="shared" si="1"/>
        <v>4019.1698214399999</v>
      </c>
      <c r="L37" s="111"/>
      <c r="M37" s="73"/>
      <c r="N37" s="112"/>
      <c r="O37" s="111"/>
      <c r="P37" s="312">
        <v>0</v>
      </c>
      <c r="Q37" s="288">
        <f t="shared" si="2"/>
        <v>0</v>
      </c>
      <c r="R37" s="118">
        <v>0</v>
      </c>
      <c r="S37" s="283">
        <v>2016</v>
      </c>
      <c r="T37" s="288">
        <f t="shared" si="0"/>
        <v>4355</v>
      </c>
    </row>
    <row r="38" spans="2:20">
      <c r="B38" s="386" t="s">
        <v>143</v>
      </c>
      <c r="C38" s="114"/>
      <c r="D38" s="111" t="s">
        <v>1546</v>
      </c>
      <c r="E38" s="111" t="s">
        <v>1556</v>
      </c>
      <c r="F38" s="111"/>
      <c r="G38" s="110" t="s">
        <v>2073</v>
      </c>
      <c r="H38" s="141">
        <v>117.24585399999999</v>
      </c>
      <c r="I38" s="280"/>
      <c r="J38" s="72">
        <v>148.52000000000001</v>
      </c>
      <c r="K38" s="271">
        <f t="shared" si="1"/>
        <v>17413.354236080002</v>
      </c>
      <c r="L38" s="111"/>
      <c r="M38" s="73"/>
      <c r="N38" s="112"/>
      <c r="O38" s="111"/>
      <c r="P38" s="312">
        <v>0</v>
      </c>
      <c r="Q38" s="288">
        <f t="shared" si="2"/>
        <v>0</v>
      </c>
      <c r="R38" s="118">
        <v>0</v>
      </c>
      <c r="S38" s="283">
        <v>2016</v>
      </c>
      <c r="T38" s="288">
        <f t="shared" si="0"/>
        <v>18869</v>
      </c>
    </row>
    <row r="39" spans="2:20">
      <c r="B39" s="386" t="s">
        <v>144</v>
      </c>
      <c r="C39" s="114"/>
      <c r="D39" s="111" t="s">
        <v>1546</v>
      </c>
      <c r="E39" s="111" t="s">
        <v>1556</v>
      </c>
      <c r="F39" s="111"/>
      <c r="G39" s="110" t="s">
        <v>2073</v>
      </c>
      <c r="H39" s="141">
        <v>22.127420000000001</v>
      </c>
      <c r="I39" s="280"/>
      <c r="J39" s="72">
        <v>148.52000000000001</v>
      </c>
      <c r="K39" s="271">
        <f t="shared" si="1"/>
        <v>3286.3644184000004</v>
      </c>
      <c r="L39" s="111"/>
      <c r="M39" s="73"/>
      <c r="N39" s="112"/>
      <c r="O39" s="111"/>
      <c r="P39" s="312">
        <v>0</v>
      </c>
      <c r="Q39" s="288">
        <f t="shared" si="2"/>
        <v>0</v>
      </c>
      <c r="R39" s="118">
        <v>0</v>
      </c>
      <c r="S39" s="283">
        <v>2016</v>
      </c>
      <c r="T39" s="288">
        <f t="shared" si="0"/>
        <v>3561</v>
      </c>
    </row>
    <row r="40" spans="2:20">
      <c r="B40" s="386" t="s">
        <v>145</v>
      </c>
      <c r="C40" s="114"/>
      <c r="D40" s="111" t="s">
        <v>1546</v>
      </c>
      <c r="E40" s="111" t="s">
        <v>1556</v>
      </c>
      <c r="F40" s="111"/>
      <c r="G40" s="110" t="s">
        <v>2074</v>
      </c>
      <c r="H40" s="141">
        <v>1419.5992490000001</v>
      </c>
      <c r="I40" s="280"/>
      <c r="J40" s="72">
        <v>148.52000000000001</v>
      </c>
      <c r="K40" s="271">
        <f t="shared" si="1"/>
        <v>210838.88046148003</v>
      </c>
      <c r="L40" s="111"/>
      <c r="M40" s="73"/>
      <c r="N40" s="112"/>
      <c r="O40" s="111"/>
      <c r="P40" s="312">
        <v>0</v>
      </c>
      <c r="Q40" s="288">
        <f t="shared" si="2"/>
        <v>0</v>
      </c>
      <c r="R40" s="118">
        <v>0</v>
      </c>
      <c r="S40" s="283">
        <v>2016</v>
      </c>
      <c r="T40" s="288">
        <f t="shared" si="0"/>
        <v>228463</v>
      </c>
    </row>
    <row r="41" spans="2:20">
      <c r="B41" s="386" t="s">
        <v>146</v>
      </c>
      <c r="C41" s="114"/>
      <c r="D41" s="111" t="s">
        <v>1546</v>
      </c>
      <c r="E41" s="111" t="s">
        <v>1556</v>
      </c>
      <c r="F41" s="111"/>
      <c r="G41" s="110" t="s">
        <v>2074</v>
      </c>
      <c r="H41" s="141">
        <v>516.61879099999999</v>
      </c>
      <c r="I41" s="280"/>
      <c r="J41" s="72">
        <v>148.52000000000001</v>
      </c>
      <c r="K41" s="271">
        <f t="shared" si="1"/>
        <v>76728.222839320006</v>
      </c>
      <c r="L41" s="111"/>
      <c r="M41" s="73"/>
      <c r="N41" s="112"/>
      <c r="O41" s="111"/>
      <c r="P41" s="312">
        <v>0</v>
      </c>
      <c r="Q41" s="288">
        <f t="shared" si="2"/>
        <v>0</v>
      </c>
      <c r="R41" s="118">
        <v>0</v>
      </c>
      <c r="S41" s="283">
        <v>2016</v>
      </c>
      <c r="T41" s="288">
        <f t="shared" si="0"/>
        <v>83142</v>
      </c>
    </row>
    <row r="42" spans="2:20">
      <c r="B42" s="386" t="s">
        <v>147</v>
      </c>
      <c r="C42" s="114"/>
      <c r="D42" s="111" t="s">
        <v>1546</v>
      </c>
      <c r="E42" s="111" t="s">
        <v>1556</v>
      </c>
      <c r="F42" s="111"/>
      <c r="G42" s="110" t="s">
        <v>2074</v>
      </c>
      <c r="H42" s="141">
        <v>793.82239400000003</v>
      </c>
      <c r="I42" s="280"/>
      <c r="J42" s="72">
        <v>148.52000000000001</v>
      </c>
      <c r="K42" s="271">
        <f t="shared" si="1"/>
        <v>117898.50195688002</v>
      </c>
      <c r="L42" s="111"/>
      <c r="M42" s="73"/>
      <c r="N42" s="112"/>
      <c r="O42" s="111"/>
      <c r="P42" s="312">
        <v>0</v>
      </c>
      <c r="Q42" s="288">
        <f t="shared" si="2"/>
        <v>0</v>
      </c>
      <c r="R42" s="118">
        <v>0</v>
      </c>
      <c r="S42" s="283">
        <v>2016</v>
      </c>
      <c r="T42" s="288">
        <f t="shared" si="0"/>
        <v>127754</v>
      </c>
    </row>
    <row r="43" spans="2:20">
      <c r="B43" s="386" t="s">
        <v>148</v>
      </c>
      <c r="C43" s="114"/>
      <c r="D43" s="111" t="s">
        <v>1546</v>
      </c>
      <c r="E43" s="111" t="s">
        <v>1556</v>
      </c>
      <c r="F43" s="111"/>
      <c r="G43" s="110" t="s">
        <v>2074</v>
      </c>
      <c r="H43" s="141">
        <v>379.85129499999999</v>
      </c>
      <c r="I43" s="280"/>
      <c r="J43" s="72">
        <v>148.52000000000001</v>
      </c>
      <c r="K43" s="271">
        <f t="shared" si="1"/>
        <v>56415.514333400002</v>
      </c>
      <c r="L43" s="111"/>
      <c r="M43" s="73"/>
      <c r="N43" s="112"/>
      <c r="O43" s="111"/>
      <c r="P43" s="312">
        <v>0</v>
      </c>
      <c r="Q43" s="288">
        <f t="shared" si="2"/>
        <v>0</v>
      </c>
      <c r="R43" s="118">
        <v>0</v>
      </c>
      <c r="S43" s="283">
        <v>2016</v>
      </c>
      <c r="T43" s="288">
        <f t="shared" si="0"/>
        <v>61131</v>
      </c>
    </row>
    <row r="44" spans="2:20">
      <c r="B44" s="386" t="s">
        <v>149</v>
      </c>
      <c r="C44" s="114"/>
      <c r="D44" s="111" t="s">
        <v>1546</v>
      </c>
      <c r="E44" s="111" t="s">
        <v>1556</v>
      </c>
      <c r="F44" s="111"/>
      <c r="G44" s="110" t="s">
        <v>2074</v>
      </c>
      <c r="H44" s="141">
        <v>2078.0228889999999</v>
      </c>
      <c r="I44" s="280"/>
      <c r="J44" s="72">
        <v>148.52000000000001</v>
      </c>
      <c r="K44" s="271">
        <f t="shared" si="1"/>
        <v>308627.95947428001</v>
      </c>
      <c r="L44" s="111"/>
      <c r="M44" s="73"/>
      <c r="N44" s="112"/>
      <c r="O44" s="111"/>
      <c r="P44" s="312">
        <v>0</v>
      </c>
      <c r="Q44" s="288">
        <f t="shared" si="2"/>
        <v>0</v>
      </c>
      <c r="R44" s="118">
        <v>0</v>
      </c>
      <c r="S44" s="283">
        <v>2016</v>
      </c>
      <c r="T44" s="288">
        <f t="shared" si="0"/>
        <v>334426</v>
      </c>
    </row>
    <row r="45" spans="2:20">
      <c r="B45" s="386" t="s">
        <v>150</v>
      </c>
      <c r="C45" s="114"/>
      <c r="D45" s="111" t="s">
        <v>1546</v>
      </c>
      <c r="E45" s="111" t="s">
        <v>1557</v>
      </c>
      <c r="F45" s="111"/>
      <c r="G45" s="110" t="s">
        <v>2073</v>
      </c>
      <c r="H45" s="141">
        <v>298.059708</v>
      </c>
      <c r="I45" s="280"/>
      <c r="J45" s="72">
        <v>148.52000000000001</v>
      </c>
      <c r="K45" s="271">
        <f t="shared" si="1"/>
        <v>44267.827832160001</v>
      </c>
      <c r="L45" s="111"/>
      <c r="M45" s="73"/>
      <c r="N45" s="112"/>
      <c r="O45" s="111"/>
      <c r="P45" s="312">
        <v>0</v>
      </c>
      <c r="Q45" s="288">
        <f t="shared" si="2"/>
        <v>0</v>
      </c>
      <c r="R45" s="118">
        <v>0</v>
      </c>
      <c r="S45" s="283">
        <v>2016</v>
      </c>
      <c r="T45" s="288">
        <f t="shared" si="0"/>
        <v>47968</v>
      </c>
    </row>
    <row r="46" spans="2:20">
      <c r="B46" s="386" t="s">
        <v>151</v>
      </c>
      <c r="C46" s="114"/>
      <c r="D46" s="111" t="s">
        <v>1546</v>
      </c>
      <c r="E46" s="111" t="s">
        <v>1558</v>
      </c>
      <c r="F46" s="111"/>
      <c r="G46" s="110" t="s">
        <v>2073</v>
      </c>
      <c r="H46" s="141">
        <v>67.612870000000001</v>
      </c>
      <c r="I46" s="280"/>
      <c r="J46" s="72">
        <v>148.52000000000001</v>
      </c>
      <c r="K46" s="271">
        <f t="shared" si="1"/>
        <v>10041.863452400001</v>
      </c>
      <c r="L46" s="111"/>
      <c r="M46" s="73"/>
      <c r="N46" s="112"/>
      <c r="O46" s="111"/>
      <c r="P46" s="312">
        <v>0</v>
      </c>
      <c r="Q46" s="288">
        <f t="shared" si="2"/>
        <v>0</v>
      </c>
      <c r="R46" s="118">
        <v>0</v>
      </c>
      <c r="S46" s="283">
        <v>2016</v>
      </c>
      <c r="T46" s="288">
        <f t="shared" si="0"/>
        <v>10881</v>
      </c>
    </row>
    <row r="47" spans="2:20">
      <c r="B47" s="386" t="s">
        <v>152</v>
      </c>
      <c r="C47" s="114"/>
      <c r="D47" s="111" t="s">
        <v>1546</v>
      </c>
      <c r="E47" s="111" t="s">
        <v>1559</v>
      </c>
      <c r="F47" s="111"/>
      <c r="G47" s="110" t="s">
        <v>2074</v>
      </c>
      <c r="H47" s="141">
        <v>126.98112</v>
      </c>
      <c r="I47" s="280"/>
      <c r="J47" s="72">
        <v>148.52000000000001</v>
      </c>
      <c r="K47" s="271">
        <f t="shared" si="1"/>
        <v>18859.235942400002</v>
      </c>
      <c r="L47" s="111"/>
      <c r="M47" s="73"/>
      <c r="N47" s="112"/>
      <c r="O47" s="111"/>
      <c r="P47" s="312">
        <v>0</v>
      </c>
      <c r="Q47" s="288">
        <f t="shared" si="2"/>
        <v>0</v>
      </c>
      <c r="R47" s="118">
        <v>0</v>
      </c>
      <c r="S47" s="283">
        <v>2016</v>
      </c>
      <c r="T47" s="288">
        <f t="shared" si="0"/>
        <v>20436</v>
      </c>
    </row>
    <row r="48" spans="2:20">
      <c r="B48" s="386" t="s">
        <v>153</v>
      </c>
      <c r="C48" s="114"/>
      <c r="D48" s="111" t="s">
        <v>1546</v>
      </c>
      <c r="E48" s="111" t="s">
        <v>1559</v>
      </c>
      <c r="F48" s="111"/>
      <c r="G48" s="110" t="s">
        <v>2074</v>
      </c>
      <c r="H48" s="141">
        <v>243.75662700000001</v>
      </c>
      <c r="I48" s="280"/>
      <c r="J48" s="72">
        <v>148.52000000000001</v>
      </c>
      <c r="K48" s="271">
        <f t="shared" si="1"/>
        <v>36202.734242040002</v>
      </c>
      <c r="L48" s="111"/>
      <c r="M48" s="73"/>
      <c r="N48" s="112"/>
      <c r="O48" s="111"/>
      <c r="P48" s="312">
        <v>0</v>
      </c>
      <c r="Q48" s="288">
        <f t="shared" si="2"/>
        <v>0</v>
      </c>
      <c r="R48" s="118">
        <v>0</v>
      </c>
      <c r="S48" s="283">
        <v>2016</v>
      </c>
      <c r="T48" s="288">
        <f t="shared" si="0"/>
        <v>39229</v>
      </c>
    </row>
    <row r="49" spans="2:20">
      <c r="B49" s="386" t="s">
        <v>154</v>
      </c>
      <c r="C49" s="114"/>
      <c r="D49" s="111" t="s">
        <v>1546</v>
      </c>
      <c r="E49" s="111" t="s">
        <v>1559</v>
      </c>
      <c r="F49" s="111"/>
      <c r="G49" s="110" t="s">
        <v>2074</v>
      </c>
      <c r="H49" s="141">
        <v>502.26119999999997</v>
      </c>
      <c r="I49" s="280"/>
      <c r="J49" s="72">
        <v>148.52000000000001</v>
      </c>
      <c r="K49" s="271">
        <f t="shared" si="1"/>
        <v>74595.833423999997</v>
      </c>
      <c r="L49" s="111"/>
      <c r="M49" s="73"/>
      <c r="N49" s="112"/>
      <c r="O49" s="111"/>
      <c r="P49" s="312">
        <v>0</v>
      </c>
      <c r="Q49" s="288">
        <f t="shared" si="2"/>
        <v>0</v>
      </c>
      <c r="R49" s="118">
        <v>0</v>
      </c>
      <c r="S49" s="283">
        <v>2016</v>
      </c>
      <c r="T49" s="288">
        <f t="shared" si="0"/>
        <v>80831</v>
      </c>
    </row>
    <row r="50" spans="2:20">
      <c r="B50" s="386" t="s">
        <v>155</v>
      </c>
      <c r="C50" s="114"/>
      <c r="D50" s="111" t="s">
        <v>1546</v>
      </c>
      <c r="E50" s="111" t="s">
        <v>1559</v>
      </c>
      <c r="F50" s="111"/>
      <c r="G50" s="110" t="s">
        <v>2074</v>
      </c>
      <c r="H50" s="141">
        <v>231.18310600000001</v>
      </c>
      <c r="I50" s="280"/>
      <c r="J50" s="72">
        <v>148.52000000000001</v>
      </c>
      <c r="K50" s="271">
        <f t="shared" si="1"/>
        <v>34335.314903120001</v>
      </c>
      <c r="L50" s="111"/>
      <c r="M50" s="73"/>
      <c r="N50" s="112"/>
      <c r="O50" s="111"/>
      <c r="P50" s="312">
        <v>0</v>
      </c>
      <c r="Q50" s="288">
        <f t="shared" si="2"/>
        <v>0</v>
      </c>
      <c r="R50" s="118">
        <v>0</v>
      </c>
      <c r="S50" s="283">
        <v>2016</v>
      </c>
      <c r="T50" s="288">
        <f t="shared" si="0"/>
        <v>37205</v>
      </c>
    </row>
    <row r="51" spans="2:20">
      <c r="B51" s="386" t="s">
        <v>156</v>
      </c>
      <c r="C51" s="114"/>
      <c r="D51" s="111" t="s">
        <v>1546</v>
      </c>
      <c r="E51" s="111" t="s">
        <v>1559</v>
      </c>
      <c r="F51" s="111"/>
      <c r="G51" s="110" t="s">
        <v>2073</v>
      </c>
      <c r="H51" s="141">
        <v>1100.792357</v>
      </c>
      <c r="I51" s="280"/>
      <c r="J51" s="72">
        <v>148.52000000000001</v>
      </c>
      <c r="K51" s="271">
        <f t="shared" si="1"/>
        <v>163489.68086164002</v>
      </c>
      <c r="L51" s="111"/>
      <c r="M51" s="73"/>
      <c r="N51" s="112"/>
      <c r="O51" s="111"/>
      <c r="P51" s="312">
        <v>0</v>
      </c>
      <c r="Q51" s="288">
        <f t="shared" si="2"/>
        <v>0</v>
      </c>
      <c r="R51" s="118">
        <v>0</v>
      </c>
      <c r="S51" s="283">
        <v>2016</v>
      </c>
      <c r="T51" s="288">
        <f t="shared" si="0"/>
        <v>177156</v>
      </c>
    </row>
    <row r="52" spans="2:20">
      <c r="B52" s="386" t="s">
        <v>157</v>
      </c>
      <c r="C52" s="114"/>
      <c r="D52" s="111" t="s">
        <v>1546</v>
      </c>
      <c r="E52" s="111" t="s">
        <v>1560</v>
      </c>
      <c r="F52" s="111"/>
      <c r="G52" s="110" t="s">
        <v>2073</v>
      </c>
      <c r="H52" s="141">
        <v>1727.033312</v>
      </c>
      <c r="I52" s="280"/>
      <c r="J52" s="72">
        <v>148.52000000000001</v>
      </c>
      <c r="K52" s="271">
        <f t="shared" si="1"/>
        <v>256498.98749824002</v>
      </c>
      <c r="L52" s="111"/>
      <c r="M52" s="73"/>
      <c r="N52" s="112"/>
      <c r="O52" s="111"/>
      <c r="P52" s="312">
        <v>0</v>
      </c>
      <c r="Q52" s="288">
        <f t="shared" si="2"/>
        <v>0</v>
      </c>
      <c r="R52" s="118">
        <v>0</v>
      </c>
      <c r="S52" s="283">
        <v>2016</v>
      </c>
      <c r="T52" s="288">
        <f t="shared" si="0"/>
        <v>277940</v>
      </c>
    </row>
    <row r="53" spans="2:20">
      <c r="B53" s="386" t="s">
        <v>158</v>
      </c>
      <c r="C53" s="114"/>
      <c r="D53" s="111" t="s">
        <v>1546</v>
      </c>
      <c r="E53" s="111" t="s">
        <v>1560</v>
      </c>
      <c r="F53" s="111"/>
      <c r="G53" s="110" t="s">
        <v>2073</v>
      </c>
      <c r="H53" s="141">
        <v>524.96250599999996</v>
      </c>
      <c r="I53" s="280"/>
      <c r="J53" s="72">
        <v>148.52000000000001</v>
      </c>
      <c r="K53" s="271">
        <f t="shared" si="1"/>
        <v>77967.431391120001</v>
      </c>
      <c r="L53" s="111"/>
      <c r="M53" s="73"/>
      <c r="N53" s="112"/>
      <c r="O53" s="111"/>
      <c r="P53" s="312">
        <v>0</v>
      </c>
      <c r="Q53" s="288">
        <f t="shared" si="2"/>
        <v>0</v>
      </c>
      <c r="R53" s="118">
        <v>0</v>
      </c>
      <c r="S53" s="283">
        <v>2016</v>
      </c>
      <c r="T53" s="288">
        <f t="shared" si="0"/>
        <v>84485</v>
      </c>
    </row>
    <row r="54" spans="2:20">
      <c r="B54" s="386" t="s">
        <v>159</v>
      </c>
      <c r="C54" s="114"/>
      <c r="D54" s="111" t="s">
        <v>1546</v>
      </c>
      <c r="E54" s="111" t="s">
        <v>1560</v>
      </c>
      <c r="F54" s="111"/>
      <c r="G54" s="110" t="s">
        <v>2073</v>
      </c>
      <c r="H54" s="141">
        <v>1079.3235079999999</v>
      </c>
      <c r="I54" s="280"/>
      <c r="J54" s="72">
        <v>148.52000000000001</v>
      </c>
      <c r="K54" s="271">
        <f t="shared" si="1"/>
        <v>160301.12740816001</v>
      </c>
      <c r="L54" s="111"/>
      <c r="M54" s="73"/>
      <c r="N54" s="112"/>
      <c r="O54" s="111"/>
      <c r="P54" s="312">
        <v>0</v>
      </c>
      <c r="Q54" s="288">
        <f t="shared" si="2"/>
        <v>0</v>
      </c>
      <c r="R54" s="118">
        <v>0</v>
      </c>
      <c r="S54" s="283">
        <v>2016</v>
      </c>
      <c r="T54" s="288">
        <f t="shared" si="0"/>
        <v>173701</v>
      </c>
    </row>
    <row r="55" spans="2:20">
      <c r="B55" s="386" t="s">
        <v>160</v>
      </c>
      <c r="C55" s="114"/>
      <c r="D55" s="111" t="s">
        <v>1546</v>
      </c>
      <c r="E55" s="111" t="s">
        <v>1560</v>
      </c>
      <c r="F55" s="111"/>
      <c r="G55" s="110" t="s">
        <v>2073</v>
      </c>
      <c r="H55" s="141">
        <v>70.994753000000003</v>
      </c>
      <c r="I55" s="280"/>
      <c r="J55" s="72">
        <v>148.52000000000001</v>
      </c>
      <c r="K55" s="271">
        <f t="shared" si="1"/>
        <v>10544.140715560001</v>
      </c>
      <c r="L55" s="111"/>
      <c r="M55" s="73"/>
      <c r="N55" s="112"/>
      <c r="O55" s="111"/>
      <c r="P55" s="312">
        <v>0</v>
      </c>
      <c r="Q55" s="288">
        <f t="shared" si="2"/>
        <v>0</v>
      </c>
      <c r="R55" s="118">
        <v>0</v>
      </c>
      <c r="S55" s="283">
        <v>2016</v>
      </c>
      <c r="T55" s="288">
        <f t="shared" si="0"/>
        <v>11426</v>
      </c>
    </row>
    <row r="56" spans="2:20">
      <c r="B56" s="386" t="s">
        <v>161</v>
      </c>
      <c r="C56" s="114"/>
      <c r="D56" s="111" t="s">
        <v>1546</v>
      </c>
      <c r="E56" s="111" t="s">
        <v>1560</v>
      </c>
      <c r="F56" s="111"/>
      <c r="G56" s="110" t="s">
        <v>2073</v>
      </c>
      <c r="H56" s="141">
        <v>150.028403</v>
      </c>
      <c r="I56" s="280"/>
      <c r="J56" s="72">
        <v>148.52000000000001</v>
      </c>
      <c r="K56" s="271">
        <f t="shared" si="1"/>
        <v>22282.21841356</v>
      </c>
      <c r="L56" s="111"/>
      <c r="M56" s="73"/>
      <c r="N56" s="112"/>
      <c r="O56" s="111"/>
      <c r="P56" s="312">
        <v>0</v>
      </c>
      <c r="Q56" s="288">
        <f t="shared" si="2"/>
        <v>0</v>
      </c>
      <c r="R56" s="118">
        <v>0</v>
      </c>
      <c r="S56" s="283">
        <v>2016</v>
      </c>
      <c r="T56" s="288">
        <f t="shared" si="0"/>
        <v>24145</v>
      </c>
    </row>
    <row r="57" spans="2:20">
      <c r="B57" s="386" t="s">
        <v>162</v>
      </c>
      <c r="C57" s="114"/>
      <c r="D57" s="111" t="s">
        <v>1546</v>
      </c>
      <c r="E57" s="111" t="s">
        <v>1560</v>
      </c>
      <c r="F57" s="111"/>
      <c r="G57" s="110" t="s">
        <v>2073</v>
      </c>
      <c r="H57" s="141">
        <v>164.43184400000001</v>
      </c>
      <c r="I57" s="280"/>
      <c r="J57" s="72">
        <v>148.52000000000001</v>
      </c>
      <c r="K57" s="271">
        <f t="shared" si="1"/>
        <v>24421.417470880002</v>
      </c>
      <c r="L57" s="111"/>
      <c r="M57" s="73"/>
      <c r="N57" s="112"/>
      <c r="O57" s="111"/>
      <c r="P57" s="312">
        <v>0</v>
      </c>
      <c r="Q57" s="288">
        <f t="shared" si="2"/>
        <v>0</v>
      </c>
      <c r="R57" s="118">
        <v>0</v>
      </c>
      <c r="S57" s="283">
        <v>2016</v>
      </c>
      <c r="T57" s="288">
        <f t="shared" si="0"/>
        <v>26463</v>
      </c>
    </row>
    <row r="58" spans="2:20">
      <c r="B58" s="386" t="s">
        <v>163</v>
      </c>
      <c r="C58" s="114"/>
      <c r="D58" s="111" t="s">
        <v>1546</v>
      </c>
      <c r="E58" s="111" t="s">
        <v>1561</v>
      </c>
      <c r="F58" s="111"/>
      <c r="G58" s="110" t="s">
        <v>2073</v>
      </c>
      <c r="H58" s="141">
        <v>109.90768300000001</v>
      </c>
      <c r="I58" s="280"/>
      <c r="J58" s="72">
        <v>148.52000000000001</v>
      </c>
      <c r="K58" s="271">
        <f t="shared" si="1"/>
        <v>16323.489079160003</v>
      </c>
      <c r="L58" s="111"/>
      <c r="M58" s="73"/>
      <c r="N58" s="112"/>
      <c r="O58" s="111"/>
      <c r="P58" s="312">
        <v>0</v>
      </c>
      <c r="Q58" s="288">
        <f t="shared" si="2"/>
        <v>0</v>
      </c>
      <c r="R58" s="118">
        <v>0</v>
      </c>
      <c r="S58" s="283">
        <v>2016</v>
      </c>
      <c r="T58" s="288">
        <f t="shared" si="0"/>
        <v>17688</v>
      </c>
    </row>
    <row r="59" spans="2:20">
      <c r="B59" s="386" t="s">
        <v>164</v>
      </c>
      <c r="C59" s="114"/>
      <c r="D59" s="111" t="s">
        <v>1546</v>
      </c>
      <c r="E59" s="111" t="s">
        <v>1561</v>
      </c>
      <c r="F59" s="111"/>
      <c r="G59" s="110" t="s">
        <v>2073</v>
      </c>
      <c r="H59" s="141">
        <v>177.788374</v>
      </c>
      <c r="I59" s="280"/>
      <c r="J59" s="72">
        <v>148.52000000000001</v>
      </c>
      <c r="K59" s="271">
        <f t="shared" si="1"/>
        <v>26405.129306480001</v>
      </c>
      <c r="L59" s="111"/>
      <c r="M59" s="73"/>
      <c r="N59" s="112"/>
      <c r="O59" s="111"/>
      <c r="P59" s="312">
        <v>0</v>
      </c>
      <c r="Q59" s="288">
        <f t="shared" si="2"/>
        <v>0</v>
      </c>
      <c r="R59" s="118">
        <v>0</v>
      </c>
      <c r="S59" s="283">
        <v>2016</v>
      </c>
      <c r="T59" s="288">
        <f t="shared" si="0"/>
        <v>28612</v>
      </c>
    </row>
    <row r="60" spans="2:20">
      <c r="B60" s="386" t="s">
        <v>165</v>
      </c>
      <c r="C60" s="114"/>
      <c r="D60" s="111" t="s">
        <v>1546</v>
      </c>
      <c r="E60" s="111" t="s">
        <v>1561</v>
      </c>
      <c r="F60" s="111"/>
      <c r="G60" s="110" t="s">
        <v>2073</v>
      </c>
      <c r="H60" s="141">
        <v>216.766246</v>
      </c>
      <c r="I60" s="280"/>
      <c r="J60" s="72">
        <v>148.52000000000001</v>
      </c>
      <c r="K60" s="271">
        <f t="shared" si="1"/>
        <v>32194.122855920003</v>
      </c>
      <c r="L60" s="111"/>
      <c r="M60" s="73"/>
      <c r="N60" s="112"/>
      <c r="O60" s="111"/>
      <c r="P60" s="312">
        <v>0</v>
      </c>
      <c r="Q60" s="288">
        <f t="shared" si="2"/>
        <v>0</v>
      </c>
      <c r="R60" s="118">
        <v>0</v>
      </c>
      <c r="S60" s="283">
        <v>2016</v>
      </c>
      <c r="T60" s="288">
        <f t="shared" si="0"/>
        <v>34885</v>
      </c>
    </row>
    <row r="61" spans="2:20">
      <c r="B61" s="386" t="s">
        <v>166</v>
      </c>
      <c r="C61" s="114"/>
      <c r="D61" s="111" t="s">
        <v>1547</v>
      </c>
      <c r="E61" s="111" t="s">
        <v>1562</v>
      </c>
      <c r="F61" s="111"/>
      <c r="G61" s="110" t="s">
        <v>2072</v>
      </c>
      <c r="H61" s="141">
        <v>169.02579299999999</v>
      </c>
      <c r="I61" s="280"/>
      <c r="J61" s="72">
        <v>151.88</v>
      </c>
      <c r="K61" s="271">
        <f t="shared" si="1"/>
        <v>25671.637440839997</v>
      </c>
      <c r="L61" s="111"/>
      <c r="M61" s="73"/>
      <c r="N61" s="112"/>
      <c r="O61" s="111"/>
      <c r="P61" s="312">
        <v>0</v>
      </c>
      <c r="Q61" s="288">
        <f t="shared" si="2"/>
        <v>0</v>
      </c>
      <c r="R61" s="118">
        <v>0</v>
      </c>
      <c r="S61" s="283">
        <v>2016</v>
      </c>
      <c r="T61" s="288">
        <f t="shared" si="0"/>
        <v>27818</v>
      </c>
    </row>
    <row r="62" spans="2:20">
      <c r="B62" s="386" t="s">
        <v>167</v>
      </c>
      <c r="C62" s="114"/>
      <c r="D62" s="111" t="s">
        <v>1547</v>
      </c>
      <c r="E62" s="111" t="s">
        <v>1562</v>
      </c>
      <c r="F62" s="111"/>
      <c r="G62" s="110" t="s">
        <v>2073</v>
      </c>
      <c r="H62" s="141">
        <v>615.34483499999999</v>
      </c>
      <c r="I62" s="280"/>
      <c r="J62" s="72">
        <v>148.52000000000001</v>
      </c>
      <c r="K62" s="271">
        <f t="shared" si="1"/>
        <v>91391.014894200009</v>
      </c>
      <c r="L62" s="111"/>
      <c r="M62" s="73"/>
      <c r="N62" s="112"/>
      <c r="O62" s="111"/>
      <c r="P62" s="312">
        <v>0</v>
      </c>
      <c r="Q62" s="288">
        <f t="shared" si="2"/>
        <v>0</v>
      </c>
      <c r="R62" s="118">
        <v>0</v>
      </c>
      <c r="S62" s="283">
        <v>2016</v>
      </c>
      <c r="T62" s="288">
        <f t="shared" si="0"/>
        <v>99030</v>
      </c>
    </row>
    <row r="63" spans="2:20">
      <c r="B63" s="386" t="s">
        <v>168</v>
      </c>
      <c r="C63" s="114"/>
      <c r="D63" s="111" t="s">
        <v>1547</v>
      </c>
      <c r="E63" s="111" t="s">
        <v>1562</v>
      </c>
      <c r="F63" s="111"/>
      <c r="G63" s="110" t="s">
        <v>2073</v>
      </c>
      <c r="H63" s="141">
        <v>91.133368000000004</v>
      </c>
      <c r="I63" s="280"/>
      <c r="J63" s="72">
        <v>148.52000000000001</v>
      </c>
      <c r="K63" s="271">
        <f t="shared" si="1"/>
        <v>13535.127815360001</v>
      </c>
      <c r="L63" s="111"/>
      <c r="M63" s="73"/>
      <c r="N63" s="112"/>
      <c r="O63" s="111"/>
      <c r="P63" s="312">
        <v>0</v>
      </c>
      <c r="Q63" s="288">
        <f t="shared" si="2"/>
        <v>0</v>
      </c>
      <c r="R63" s="118">
        <v>0</v>
      </c>
      <c r="S63" s="283">
        <v>2016</v>
      </c>
      <c r="T63" s="288">
        <f t="shared" si="0"/>
        <v>14667</v>
      </c>
    </row>
    <row r="64" spans="2:20">
      <c r="B64" s="386" t="s">
        <v>169</v>
      </c>
      <c r="C64" s="114"/>
      <c r="D64" s="111" t="s">
        <v>1547</v>
      </c>
      <c r="E64" s="111" t="s">
        <v>1562</v>
      </c>
      <c r="F64" s="111"/>
      <c r="G64" s="110" t="s">
        <v>2073</v>
      </c>
      <c r="H64" s="141">
        <v>49.453499999999998</v>
      </c>
      <c r="I64" s="280"/>
      <c r="J64" s="72">
        <v>148.52000000000001</v>
      </c>
      <c r="K64" s="271">
        <f t="shared" si="1"/>
        <v>7344.8338199999998</v>
      </c>
      <c r="L64" s="111"/>
      <c r="M64" s="73"/>
      <c r="N64" s="112"/>
      <c r="O64" s="111"/>
      <c r="P64" s="312">
        <v>0</v>
      </c>
      <c r="Q64" s="288">
        <f t="shared" si="2"/>
        <v>0</v>
      </c>
      <c r="R64" s="118">
        <v>0</v>
      </c>
      <c r="S64" s="283">
        <v>2016</v>
      </c>
      <c r="T64" s="288">
        <f t="shared" si="0"/>
        <v>7959</v>
      </c>
    </row>
    <row r="65" spans="2:20">
      <c r="B65" s="386" t="s">
        <v>170</v>
      </c>
      <c r="C65" s="114"/>
      <c r="D65" s="111" t="s">
        <v>1547</v>
      </c>
      <c r="E65" s="111" t="s">
        <v>1562</v>
      </c>
      <c r="F65" s="111"/>
      <c r="G65" s="110" t="s">
        <v>2073</v>
      </c>
      <c r="H65" s="141">
        <v>208.549601</v>
      </c>
      <c r="I65" s="280"/>
      <c r="J65" s="72">
        <v>148.52000000000001</v>
      </c>
      <c r="K65" s="271">
        <f t="shared" si="1"/>
        <v>30973.786740520001</v>
      </c>
      <c r="L65" s="111"/>
      <c r="M65" s="73"/>
      <c r="N65" s="112"/>
      <c r="O65" s="111"/>
      <c r="P65" s="312">
        <v>0</v>
      </c>
      <c r="Q65" s="288">
        <f t="shared" si="2"/>
        <v>0</v>
      </c>
      <c r="R65" s="118">
        <v>0</v>
      </c>
      <c r="S65" s="283">
        <v>2016</v>
      </c>
      <c r="T65" s="288">
        <f t="shared" si="0"/>
        <v>33563</v>
      </c>
    </row>
    <row r="66" spans="2:20">
      <c r="B66" s="386" t="s">
        <v>171</v>
      </c>
      <c r="C66" s="114"/>
      <c r="D66" s="111" t="s">
        <v>1547</v>
      </c>
      <c r="E66" s="111" t="s">
        <v>1562</v>
      </c>
      <c r="F66" s="111"/>
      <c r="G66" s="110" t="s">
        <v>2073</v>
      </c>
      <c r="H66" s="141">
        <v>892.81097599999998</v>
      </c>
      <c r="I66" s="280"/>
      <c r="J66" s="72">
        <v>148.52000000000001</v>
      </c>
      <c r="K66" s="271">
        <f t="shared" si="1"/>
        <v>132600.28615552001</v>
      </c>
      <c r="L66" s="111"/>
      <c r="M66" s="73"/>
      <c r="N66" s="112"/>
      <c r="O66" s="111"/>
      <c r="P66" s="312">
        <v>0</v>
      </c>
      <c r="Q66" s="288">
        <f t="shared" si="2"/>
        <v>0</v>
      </c>
      <c r="R66" s="118">
        <v>0</v>
      </c>
      <c r="S66" s="283">
        <v>2016</v>
      </c>
      <c r="T66" s="288">
        <f t="shared" si="0"/>
        <v>143684</v>
      </c>
    </row>
    <row r="67" spans="2:20">
      <c r="B67" s="386" t="s">
        <v>172</v>
      </c>
      <c r="C67" s="114"/>
      <c r="D67" s="111" t="s">
        <v>1547</v>
      </c>
      <c r="E67" s="111" t="s">
        <v>1562</v>
      </c>
      <c r="F67" s="111"/>
      <c r="G67" s="110" t="s">
        <v>2074</v>
      </c>
      <c r="H67" s="141">
        <v>325.76728400000002</v>
      </c>
      <c r="I67" s="280"/>
      <c r="J67" s="72">
        <v>148.52000000000001</v>
      </c>
      <c r="K67" s="271">
        <f t="shared" si="1"/>
        <v>48382.957019680005</v>
      </c>
      <c r="L67" s="111"/>
      <c r="M67" s="73"/>
      <c r="N67" s="112"/>
      <c r="O67" s="111"/>
      <c r="P67" s="312">
        <v>0</v>
      </c>
      <c r="Q67" s="288">
        <f t="shared" si="2"/>
        <v>0</v>
      </c>
      <c r="R67" s="118">
        <v>0</v>
      </c>
      <c r="S67" s="283">
        <v>2016</v>
      </c>
      <c r="T67" s="288">
        <f t="shared" si="0"/>
        <v>52427</v>
      </c>
    </row>
    <row r="68" spans="2:20">
      <c r="B68" s="386" t="s">
        <v>173</v>
      </c>
      <c r="C68" s="114"/>
      <c r="D68" s="111" t="s">
        <v>1546</v>
      </c>
      <c r="E68" s="111" t="s">
        <v>1563</v>
      </c>
      <c r="F68" s="111"/>
      <c r="G68" s="110" t="s">
        <v>2073</v>
      </c>
      <c r="H68" s="141">
        <v>37.723216999999998</v>
      </c>
      <c r="I68" s="280"/>
      <c r="J68" s="72">
        <v>148.52000000000001</v>
      </c>
      <c r="K68" s="271">
        <f t="shared" si="1"/>
        <v>5602.6521888400002</v>
      </c>
      <c r="L68" s="111"/>
      <c r="M68" s="73"/>
      <c r="N68" s="112"/>
      <c r="O68" s="111"/>
      <c r="P68" s="312">
        <v>27.912421999999999</v>
      </c>
      <c r="Q68" s="288">
        <f t="shared" si="2"/>
        <v>148.00000014330536</v>
      </c>
      <c r="R68" s="118">
        <v>4131.0384599999998</v>
      </c>
      <c r="S68" s="283">
        <v>2016</v>
      </c>
      <c r="T68" s="288">
        <f t="shared" si="0"/>
        <v>10555</v>
      </c>
    </row>
    <row r="69" spans="2:20">
      <c r="B69" s="386" t="s">
        <v>174</v>
      </c>
      <c r="C69" s="114"/>
      <c r="D69" s="111" t="s">
        <v>1546</v>
      </c>
      <c r="E69" s="111" t="s">
        <v>1563</v>
      </c>
      <c r="F69" s="111"/>
      <c r="G69" s="110" t="s">
        <v>2073</v>
      </c>
      <c r="H69" s="141">
        <v>916.58148200000005</v>
      </c>
      <c r="I69" s="280"/>
      <c r="J69" s="72">
        <v>148.52000000000001</v>
      </c>
      <c r="K69" s="271">
        <f t="shared" si="1"/>
        <v>136130.68170664003</v>
      </c>
      <c r="L69" s="111"/>
      <c r="M69" s="73"/>
      <c r="N69" s="112"/>
      <c r="O69" s="111"/>
      <c r="P69" s="312">
        <v>0</v>
      </c>
      <c r="Q69" s="288">
        <f t="shared" si="2"/>
        <v>0</v>
      </c>
      <c r="R69" s="118"/>
      <c r="S69" s="283">
        <v>2016</v>
      </c>
      <c r="T69" s="288">
        <f t="shared" si="0"/>
        <v>147510</v>
      </c>
    </row>
    <row r="70" spans="2:20">
      <c r="B70" s="386" t="s">
        <v>175</v>
      </c>
      <c r="C70" s="114"/>
      <c r="D70" s="111" t="s">
        <v>1546</v>
      </c>
      <c r="E70" s="111" t="s">
        <v>1563</v>
      </c>
      <c r="F70" s="111"/>
      <c r="G70" s="110" t="s">
        <v>2072</v>
      </c>
      <c r="H70" s="141">
        <v>132.83291299999999</v>
      </c>
      <c r="I70" s="280"/>
      <c r="J70" s="72">
        <v>151.88</v>
      </c>
      <c r="K70" s="271">
        <f t="shared" si="1"/>
        <v>20174.662826439999</v>
      </c>
      <c r="L70" s="111"/>
      <c r="M70" s="73"/>
      <c r="N70" s="112"/>
      <c r="O70" s="111"/>
      <c r="P70" s="312">
        <v>0</v>
      </c>
      <c r="Q70" s="288">
        <f t="shared" si="2"/>
        <v>0</v>
      </c>
      <c r="R70" s="118"/>
      <c r="S70" s="283">
        <v>2016</v>
      </c>
      <c r="T70" s="288">
        <f t="shared" si="0"/>
        <v>21861</v>
      </c>
    </row>
    <row r="71" spans="2:20">
      <c r="B71" s="386" t="s">
        <v>176</v>
      </c>
      <c r="C71" s="114"/>
      <c r="D71" s="111" t="s">
        <v>1546</v>
      </c>
      <c r="E71" s="111" t="s">
        <v>1563</v>
      </c>
      <c r="F71" s="111"/>
      <c r="G71" s="110" t="s">
        <v>2073</v>
      </c>
      <c r="H71" s="141">
        <v>137.33843300000001</v>
      </c>
      <c r="I71" s="280"/>
      <c r="J71" s="72">
        <v>148.52000000000001</v>
      </c>
      <c r="K71" s="271">
        <f t="shared" si="1"/>
        <v>20397.504069160004</v>
      </c>
      <c r="L71" s="111"/>
      <c r="M71" s="73"/>
      <c r="N71" s="112"/>
      <c r="O71" s="111"/>
      <c r="P71" s="312">
        <v>0</v>
      </c>
      <c r="Q71" s="288">
        <f t="shared" si="2"/>
        <v>0</v>
      </c>
      <c r="R71" s="118"/>
      <c r="S71" s="283">
        <v>2016</v>
      </c>
      <c r="T71" s="288">
        <f t="shared" si="0"/>
        <v>22103</v>
      </c>
    </row>
    <row r="72" spans="2:20">
      <c r="B72" s="386" t="s">
        <v>177</v>
      </c>
      <c r="C72" s="114"/>
      <c r="D72" s="111" t="s">
        <v>1547</v>
      </c>
      <c r="E72" s="111" t="s">
        <v>1564</v>
      </c>
      <c r="F72" s="111"/>
      <c r="G72" s="110" t="s">
        <v>2073</v>
      </c>
      <c r="H72" s="141">
        <v>521.58812399999999</v>
      </c>
      <c r="I72" s="280"/>
      <c r="J72" s="72">
        <v>148.52000000000001</v>
      </c>
      <c r="K72" s="271">
        <f t="shared" si="1"/>
        <v>77466.268176480007</v>
      </c>
      <c r="L72" s="111"/>
      <c r="M72" s="73"/>
      <c r="N72" s="112"/>
      <c r="O72" s="111"/>
      <c r="P72" s="312">
        <v>720.98056099999997</v>
      </c>
      <c r="Q72" s="288">
        <f t="shared" si="2"/>
        <v>2593.000007388549</v>
      </c>
      <c r="R72" s="118">
        <v>1869502.6</v>
      </c>
      <c r="S72" s="283">
        <v>2016</v>
      </c>
      <c r="T72" s="288">
        <f t="shared" si="0"/>
        <v>2113014</v>
      </c>
    </row>
    <row r="73" spans="2:20">
      <c r="B73" s="386" t="s">
        <v>178</v>
      </c>
      <c r="C73" s="114"/>
      <c r="D73" s="111" t="s">
        <v>1547</v>
      </c>
      <c r="E73" s="111" t="s">
        <v>1564</v>
      </c>
      <c r="F73" s="111"/>
      <c r="G73" s="110" t="s">
        <v>2073</v>
      </c>
      <c r="H73" s="141">
        <v>314.21572700000002</v>
      </c>
      <c r="I73" s="280"/>
      <c r="J73" s="72">
        <v>148.52000000000001</v>
      </c>
      <c r="K73" s="271">
        <f t="shared" si="1"/>
        <v>46667.319774040006</v>
      </c>
      <c r="L73" s="111"/>
      <c r="M73" s="73"/>
      <c r="N73" s="112"/>
      <c r="O73" s="111"/>
      <c r="P73" s="312">
        <v>0</v>
      </c>
      <c r="Q73" s="288">
        <f t="shared" si="2"/>
        <v>0</v>
      </c>
      <c r="R73" s="118"/>
      <c r="S73" s="283">
        <v>2016</v>
      </c>
      <c r="T73" s="288">
        <f t="shared" si="0"/>
        <v>50568</v>
      </c>
    </row>
    <row r="74" spans="2:20">
      <c r="B74" s="386" t="s">
        <v>179</v>
      </c>
      <c r="C74" s="114"/>
      <c r="D74" s="111" t="s">
        <v>1547</v>
      </c>
      <c r="E74" s="111" t="s">
        <v>1564</v>
      </c>
      <c r="F74" s="111"/>
      <c r="G74" s="110" t="s">
        <v>2073</v>
      </c>
      <c r="H74" s="141">
        <v>102.831497</v>
      </c>
      <c r="I74" s="280"/>
      <c r="J74" s="72">
        <v>148.52000000000001</v>
      </c>
      <c r="K74" s="271">
        <f t="shared" si="1"/>
        <v>15272.533934440002</v>
      </c>
      <c r="L74" s="111"/>
      <c r="M74" s="73"/>
      <c r="N74" s="112"/>
      <c r="O74" s="111"/>
      <c r="P74" s="312">
        <v>0</v>
      </c>
      <c r="Q74" s="288">
        <f t="shared" si="2"/>
        <v>0</v>
      </c>
      <c r="R74" s="118"/>
      <c r="S74" s="283">
        <v>2016</v>
      </c>
      <c r="T74" s="288">
        <f t="shared" si="0"/>
        <v>16549</v>
      </c>
    </row>
    <row r="75" spans="2:20">
      <c r="B75" s="386" t="s">
        <v>180</v>
      </c>
      <c r="C75" s="114"/>
      <c r="D75" s="111" t="s">
        <v>1546</v>
      </c>
      <c r="E75" s="111" t="s">
        <v>1565</v>
      </c>
      <c r="F75" s="111"/>
      <c r="G75" s="110" t="s">
        <v>2073</v>
      </c>
      <c r="H75" s="141">
        <v>1308.226854</v>
      </c>
      <c r="I75" s="280"/>
      <c r="J75" s="72">
        <v>148.52000000000001</v>
      </c>
      <c r="K75" s="271">
        <f t="shared" si="1"/>
        <v>194297.85235608002</v>
      </c>
      <c r="L75" s="111"/>
      <c r="M75" s="73"/>
      <c r="N75" s="112"/>
      <c r="O75" s="111"/>
      <c r="P75" s="312">
        <v>0</v>
      </c>
      <c r="Q75" s="288">
        <f t="shared" si="2"/>
        <v>0</v>
      </c>
      <c r="R75" s="118">
        <v>0</v>
      </c>
      <c r="S75" s="283">
        <v>2016</v>
      </c>
      <c r="T75" s="288">
        <f t="shared" si="0"/>
        <v>210539</v>
      </c>
    </row>
    <row r="76" spans="2:20">
      <c r="B76" s="386" t="s">
        <v>181</v>
      </c>
      <c r="C76" s="114"/>
      <c r="D76" s="111" t="s">
        <v>1546</v>
      </c>
      <c r="E76" s="111" t="s">
        <v>1566</v>
      </c>
      <c r="F76" s="111"/>
      <c r="G76" s="110" t="s">
        <v>2073</v>
      </c>
      <c r="H76" s="141">
        <v>125.415728</v>
      </c>
      <c r="I76" s="280"/>
      <c r="J76" s="72">
        <v>148.52000000000001</v>
      </c>
      <c r="K76" s="271">
        <f t="shared" ref="K76:K139" si="3">J76*H76</f>
        <v>18626.743922560003</v>
      </c>
      <c r="L76" s="111"/>
      <c r="M76" s="73"/>
      <c r="N76" s="112"/>
      <c r="O76" s="111"/>
      <c r="P76" s="312">
        <v>0</v>
      </c>
      <c r="Q76" s="288">
        <f t="shared" ref="Q76:Q139" si="4">IFERROR(R76/P76,0)</f>
        <v>0</v>
      </c>
      <c r="R76" s="118">
        <v>0</v>
      </c>
      <c r="S76" s="283">
        <v>2016</v>
      </c>
      <c r="T76" s="288">
        <f t="shared" si="0"/>
        <v>20184</v>
      </c>
    </row>
    <row r="77" spans="2:20">
      <c r="B77" s="386" t="s">
        <v>182</v>
      </c>
      <c r="C77" s="114"/>
      <c r="D77" s="111" t="s">
        <v>1546</v>
      </c>
      <c r="E77" s="111" t="s">
        <v>1566</v>
      </c>
      <c r="F77" s="111"/>
      <c r="G77" s="110" t="s">
        <v>2073</v>
      </c>
      <c r="H77" s="141">
        <v>243.91575</v>
      </c>
      <c r="I77" s="280"/>
      <c r="J77" s="72">
        <v>148.52000000000001</v>
      </c>
      <c r="K77" s="271">
        <f t="shared" si="3"/>
        <v>36226.367190000004</v>
      </c>
      <c r="L77" s="111"/>
      <c r="M77" s="73"/>
      <c r="N77" s="112"/>
      <c r="O77" s="111"/>
      <c r="P77" s="312">
        <v>0</v>
      </c>
      <c r="Q77" s="288">
        <f t="shared" si="4"/>
        <v>0</v>
      </c>
      <c r="R77" s="118">
        <v>0</v>
      </c>
      <c r="S77" s="283">
        <v>2016</v>
      </c>
      <c r="T77" s="288">
        <f t="shared" ref="T77:T140" si="5">IFERROR(ROUND((K77*(1+PPI_Existing)^(YEAR-S77))+(R77*((1+LandInd_Existing)^(YEAR-S77))),0),0)</f>
        <v>39255</v>
      </c>
    </row>
    <row r="78" spans="2:20">
      <c r="B78" s="386" t="s">
        <v>183</v>
      </c>
      <c r="C78" s="114"/>
      <c r="D78" s="111" t="s">
        <v>1546</v>
      </c>
      <c r="E78" s="111" t="s">
        <v>1566</v>
      </c>
      <c r="F78" s="111"/>
      <c r="G78" s="110" t="s">
        <v>2073</v>
      </c>
      <c r="H78" s="141">
        <v>140.077957</v>
      </c>
      <c r="I78" s="280"/>
      <c r="J78" s="72">
        <v>148.52000000000001</v>
      </c>
      <c r="K78" s="271">
        <f t="shared" si="3"/>
        <v>20804.378173640001</v>
      </c>
      <c r="L78" s="111"/>
      <c r="M78" s="73"/>
      <c r="N78" s="112"/>
      <c r="O78" s="111"/>
      <c r="P78" s="312">
        <v>0</v>
      </c>
      <c r="Q78" s="288">
        <f t="shared" si="4"/>
        <v>0</v>
      </c>
      <c r="R78" s="118">
        <v>0</v>
      </c>
      <c r="S78" s="283">
        <v>2016</v>
      </c>
      <c r="T78" s="288">
        <f t="shared" si="5"/>
        <v>22543</v>
      </c>
    </row>
    <row r="79" spans="2:20">
      <c r="B79" s="386" t="s">
        <v>184</v>
      </c>
      <c r="C79" s="114"/>
      <c r="D79" s="111" t="s">
        <v>1546</v>
      </c>
      <c r="E79" s="111" t="s">
        <v>1566</v>
      </c>
      <c r="F79" s="111"/>
      <c r="G79" s="110" t="s">
        <v>2073</v>
      </c>
      <c r="H79" s="141">
        <v>6.5528820000000003</v>
      </c>
      <c r="I79" s="280"/>
      <c r="J79" s="72">
        <v>148.52000000000001</v>
      </c>
      <c r="K79" s="271">
        <f t="shared" si="3"/>
        <v>973.23403464000012</v>
      </c>
      <c r="L79" s="111"/>
      <c r="M79" s="73"/>
      <c r="N79" s="112"/>
      <c r="O79" s="111"/>
      <c r="P79" s="312">
        <v>0</v>
      </c>
      <c r="Q79" s="288">
        <f t="shared" si="4"/>
        <v>0</v>
      </c>
      <c r="R79" s="118">
        <v>0</v>
      </c>
      <c r="S79" s="283">
        <v>2016</v>
      </c>
      <c r="T79" s="288">
        <f t="shared" si="5"/>
        <v>1055</v>
      </c>
    </row>
    <row r="80" spans="2:20">
      <c r="B80" s="386" t="s">
        <v>185</v>
      </c>
      <c r="C80" s="114"/>
      <c r="D80" s="111" t="s">
        <v>1546</v>
      </c>
      <c r="E80" s="111" t="s">
        <v>1566</v>
      </c>
      <c r="F80" s="111"/>
      <c r="G80" s="110" t="s">
        <v>2073</v>
      </c>
      <c r="H80" s="141">
        <v>581.92968699999994</v>
      </c>
      <c r="I80" s="280"/>
      <c r="J80" s="72">
        <v>148.52000000000001</v>
      </c>
      <c r="K80" s="271">
        <f t="shared" si="3"/>
        <v>86428.197113239992</v>
      </c>
      <c r="L80" s="111"/>
      <c r="M80" s="73"/>
      <c r="N80" s="112"/>
      <c r="O80" s="111"/>
      <c r="P80" s="312">
        <v>0</v>
      </c>
      <c r="Q80" s="288">
        <f t="shared" si="4"/>
        <v>0</v>
      </c>
      <c r="R80" s="118">
        <v>0</v>
      </c>
      <c r="S80" s="283">
        <v>2016</v>
      </c>
      <c r="T80" s="288">
        <f t="shared" si="5"/>
        <v>93653</v>
      </c>
    </row>
    <row r="81" spans="2:20">
      <c r="B81" s="386" t="s">
        <v>186</v>
      </c>
      <c r="C81" s="114"/>
      <c r="D81" s="111" t="s">
        <v>1546</v>
      </c>
      <c r="E81" s="111" t="s">
        <v>1566</v>
      </c>
      <c r="F81" s="111"/>
      <c r="G81" s="110" t="s">
        <v>2073</v>
      </c>
      <c r="H81" s="141">
        <v>152.62416099999999</v>
      </c>
      <c r="I81" s="280"/>
      <c r="J81" s="72">
        <v>148.52000000000001</v>
      </c>
      <c r="K81" s="271">
        <f t="shared" si="3"/>
        <v>22667.740391719999</v>
      </c>
      <c r="L81" s="111"/>
      <c r="M81" s="73"/>
      <c r="N81" s="112"/>
      <c r="O81" s="111"/>
      <c r="P81" s="312">
        <v>0</v>
      </c>
      <c r="Q81" s="288">
        <f t="shared" si="4"/>
        <v>0</v>
      </c>
      <c r="R81" s="118">
        <v>0</v>
      </c>
      <c r="S81" s="283">
        <v>2016</v>
      </c>
      <c r="T81" s="288">
        <f t="shared" si="5"/>
        <v>24563</v>
      </c>
    </row>
    <row r="82" spans="2:20">
      <c r="B82" s="386" t="s">
        <v>187</v>
      </c>
      <c r="C82" s="114"/>
      <c r="D82" s="111" t="s">
        <v>1546</v>
      </c>
      <c r="E82" s="111" t="s">
        <v>1566</v>
      </c>
      <c r="F82" s="111"/>
      <c r="G82" s="110" t="s">
        <v>2073</v>
      </c>
      <c r="H82" s="141">
        <v>506.52676000000002</v>
      </c>
      <c r="I82" s="280"/>
      <c r="J82" s="72">
        <v>148.52000000000001</v>
      </c>
      <c r="K82" s="271">
        <f t="shared" si="3"/>
        <v>75229.354395200004</v>
      </c>
      <c r="L82" s="111"/>
      <c r="M82" s="73"/>
      <c r="N82" s="112"/>
      <c r="O82" s="111"/>
      <c r="P82" s="312">
        <v>0</v>
      </c>
      <c r="Q82" s="288">
        <f t="shared" si="4"/>
        <v>0</v>
      </c>
      <c r="R82" s="118">
        <v>0</v>
      </c>
      <c r="S82" s="283">
        <v>2016</v>
      </c>
      <c r="T82" s="288">
        <f t="shared" si="5"/>
        <v>81518</v>
      </c>
    </row>
    <row r="83" spans="2:20">
      <c r="B83" s="386" t="s">
        <v>188</v>
      </c>
      <c r="C83" s="114"/>
      <c r="D83" s="111" t="s">
        <v>1546</v>
      </c>
      <c r="E83" s="111" t="s">
        <v>1566</v>
      </c>
      <c r="F83" s="111"/>
      <c r="G83" s="110" t="s">
        <v>2073</v>
      </c>
      <c r="H83" s="141">
        <v>50.256332</v>
      </c>
      <c r="I83" s="280"/>
      <c r="J83" s="72">
        <v>148.52000000000001</v>
      </c>
      <c r="K83" s="271">
        <f t="shared" si="3"/>
        <v>7464.0704286400005</v>
      </c>
      <c r="L83" s="111"/>
      <c r="M83" s="73"/>
      <c r="N83" s="112"/>
      <c r="O83" s="111"/>
      <c r="P83" s="312">
        <v>0</v>
      </c>
      <c r="Q83" s="288">
        <f t="shared" si="4"/>
        <v>0</v>
      </c>
      <c r="R83" s="118">
        <v>0</v>
      </c>
      <c r="S83" s="283">
        <v>2016</v>
      </c>
      <c r="T83" s="288">
        <f t="shared" si="5"/>
        <v>8088</v>
      </c>
    </row>
    <row r="84" spans="2:20">
      <c r="B84" s="386" t="s">
        <v>189</v>
      </c>
      <c r="C84" s="114"/>
      <c r="D84" s="111" t="s">
        <v>1546</v>
      </c>
      <c r="E84" s="111" t="s">
        <v>1567</v>
      </c>
      <c r="F84" s="111"/>
      <c r="G84" s="110" t="s">
        <v>2073</v>
      </c>
      <c r="H84" s="141">
        <v>896.84448899999995</v>
      </c>
      <c r="I84" s="280"/>
      <c r="J84" s="72">
        <v>148.52000000000001</v>
      </c>
      <c r="K84" s="271">
        <f t="shared" si="3"/>
        <v>133199.34350628001</v>
      </c>
      <c r="L84" s="111"/>
      <c r="M84" s="73"/>
      <c r="N84" s="112"/>
      <c r="O84" s="111"/>
      <c r="P84" s="312">
        <v>0</v>
      </c>
      <c r="Q84" s="288">
        <f t="shared" si="4"/>
        <v>0</v>
      </c>
      <c r="R84" s="118">
        <v>0</v>
      </c>
      <c r="S84" s="283">
        <v>2016</v>
      </c>
      <c r="T84" s="288">
        <f t="shared" si="5"/>
        <v>144333</v>
      </c>
    </row>
    <row r="85" spans="2:20">
      <c r="B85" s="386" t="s">
        <v>190</v>
      </c>
      <c r="C85" s="114"/>
      <c r="D85" s="111" t="s">
        <v>1546</v>
      </c>
      <c r="E85" s="111" t="s">
        <v>1567</v>
      </c>
      <c r="F85" s="111"/>
      <c r="G85" s="110" t="s">
        <v>2073</v>
      </c>
      <c r="H85" s="141">
        <v>201.229117</v>
      </c>
      <c r="I85" s="280"/>
      <c r="J85" s="72">
        <v>148.52000000000001</v>
      </c>
      <c r="K85" s="271">
        <f t="shared" si="3"/>
        <v>29886.548456840002</v>
      </c>
      <c r="L85" s="111"/>
      <c r="M85" s="73"/>
      <c r="N85" s="112"/>
      <c r="O85" s="111"/>
      <c r="P85" s="312">
        <v>0</v>
      </c>
      <c r="Q85" s="288">
        <f t="shared" si="4"/>
        <v>0</v>
      </c>
      <c r="R85" s="118">
        <v>0</v>
      </c>
      <c r="S85" s="283">
        <v>2016</v>
      </c>
      <c r="T85" s="288">
        <f t="shared" si="5"/>
        <v>32385</v>
      </c>
    </row>
    <row r="86" spans="2:20">
      <c r="B86" s="386" t="s">
        <v>191</v>
      </c>
      <c r="C86" s="114"/>
      <c r="D86" s="111" t="s">
        <v>1546</v>
      </c>
      <c r="E86" s="111" t="s">
        <v>1568</v>
      </c>
      <c r="F86" s="111"/>
      <c r="G86" s="110" t="s">
        <v>2073</v>
      </c>
      <c r="H86" s="141">
        <v>267.51214299999998</v>
      </c>
      <c r="I86" s="280"/>
      <c r="J86" s="72">
        <v>148.52000000000001</v>
      </c>
      <c r="K86" s="271">
        <f t="shared" si="3"/>
        <v>39730.90347836</v>
      </c>
      <c r="L86" s="111"/>
      <c r="M86" s="73"/>
      <c r="N86" s="112"/>
      <c r="O86" s="111"/>
      <c r="P86" s="312">
        <v>0</v>
      </c>
      <c r="Q86" s="288">
        <f t="shared" si="4"/>
        <v>0</v>
      </c>
      <c r="R86" s="118">
        <v>0</v>
      </c>
      <c r="S86" s="283">
        <v>2016</v>
      </c>
      <c r="T86" s="288">
        <f t="shared" si="5"/>
        <v>43052</v>
      </c>
    </row>
    <row r="87" spans="2:20">
      <c r="B87" s="386" t="s">
        <v>192</v>
      </c>
      <c r="C87" s="114"/>
      <c r="D87" s="111" t="s">
        <v>1546</v>
      </c>
      <c r="E87" s="111" t="s">
        <v>1568</v>
      </c>
      <c r="F87" s="111"/>
      <c r="G87" s="110" t="s">
        <v>2073</v>
      </c>
      <c r="H87" s="141">
        <v>232.48181500000001</v>
      </c>
      <c r="I87" s="280"/>
      <c r="J87" s="72">
        <v>148.52000000000001</v>
      </c>
      <c r="K87" s="271">
        <f t="shared" si="3"/>
        <v>34528.199163800004</v>
      </c>
      <c r="L87" s="111"/>
      <c r="M87" s="73"/>
      <c r="N87" s="112"/>
      <c r="O87" s="111"/>
      <c r="P87" s="312">
        <v>0</v>
      </c>
      <c r="Q87" s="288">
        <f t="shared" si="4"/>
        <v>0</v>
      </c>
      <c r="R87" s="118">
        <v>0</v>
      </c>
      <c r="S87" s="283">
        <v>2016</v>
      </c>
      <c r="T87" s="288">
        <f t="shared" si="5"/>
        <v>37414</v>
      </c>
    </row>
    <row r="88" spans="2:20">
      <c r="B88" s="386" t="s">
        <v>193</v>
      </c>
      <c r="C88" s="114"/>
      <c r="D88" s="111" t="s">
        <v>1546</v>
      </c>
      <c r="E88" s="111" t="s">
        <v>1568</v>
      </c>
      <c r="F88" s="111"/>
      <c r="G88" s="110" t="s">
        <v>2073</v>
      </c>
      <c r="H88" s="141">
        <v>668.73455999999999</v>
      </c>
      <c r="I88" s="280"/>
      <c r="J88" s="72">
        <v>148.52000000000001</v>
      </c>
      <c r="K88" s="271">
        <f t="shared" si="3"/>
        <v>99320.456851200011</v>
      </c>
      <c r="L88" s="111"/>
      <c r="M88" s="73"/>
      <c r="N88" s="112"/>
      <c r="O88" s="111"/>
      <c r="P88" s="312">
        <v>0</v>
      </c>
      <c r="Q88" s="288">
        <f t="shared" si="4"/>
        <v>0</v>
      </c>
      <c r="R88" s="118">
        <v>0</v>
      </c>
      <c r="S88" s="283">
        <v>2016</v>
      </c>
      <c r="T88" s="288">
        <f t="shared" si="5"/>
        <v>107623</v>
      </c>
    </row>
    <row r="89" spans="2:20">
      <c r="B89" s="386" t="s">
        <v>194</v>
      </c>
      <c r="C89" s="114"/>
      <c r="D89" s="111" t="s">
        <v>1546</v>
      </c>
      <c r="E89" s="111" t="s">
        <v>1568</v>
      </c>
      <c r="F89" s="111"/>
      <c r="G89" s="110" t="s">
        <v>2073</v>
      </c>
      <c r="H89" s="141">
        <v>115.459362</v>
      </c>
      <c r="I89" s="280"/>
      <c r="J89" s="72">
        <v>148.52000000000001</v>
      </c>
      <c r="K89" s="271">
        <f t="shared" si="3"/>
        <v>17148.02444424</v>
      </c>
      <c r="L89" s="111"/>
      <c r="M89" s="73"/>
      <c r="N89" s="112"/>
      <c r="O89" s="111"/>
      <c r="P89" s="312">
        <v>0</v>
      </c>
      <c r="Q89" s="288">
        <f t="shared" si="4"/>
        <v>0</v>
      </c>
      <c r="R89" s="118">
        <v>0</v>
      </c>
      <c r="S89" s="283">
        <v>2016</v>
      </c>
      <c r="T89" s="288">
        <f t="shared" si="5"/>
        <v>18581</v>
      </c>
    </row>
    <row r="90" spans="2:20">
      <c r="B90" s="386" t="s">
        <v>195</v>
      </c>
      <c r="C90" s="114"/>
      <c r="D90" s="111" t="s">
        <v>1546</v>
      </c>
      <c r="E90" s="111" t="s">
        <v>1568</v>
      </c>
      <c r="F90" s="111"/>
      <c r="G90" s="110" t="s">
        <v>2073</v>
      </c>
      <c r="H90" s="141">
        <v>71.666651000000002</v>
      </c>
      <c r="I90" s="280"/>
      <c r="J90" s="72">
        <v>148.52000000000001</v>
      </c>
      <c r="K90" s="271">
        <f t="shared" si="3"/>
        <v>10643.931006520001</v>
      </c>
      <c r="L90" s="111"/>
      <c r="M90" s="73"/>
      <c r="N90" s="112"/>
      <c r="O90" s="111"/>
      <c r="P90" s="312">
        <v>0</v>
      </c>
      <c r="Q90" s="288">
        <f t="shared" si="4"/>
        <v>0</v>
      </c>
      <c r="R90" s="118">
        <v>0</v>
      </c>
      <c r="S90" s="283">
        <v>2016</v>
      </c>
      <c r="T90" s="288">
        <f t="shared" si="5"/>
        <v>11534</v>
      </c>
    </row>
    <row r="91" spans="2:20">
      <c r="B91" s="386" t="s">
        <v>196</v>
      </c>
      <c r="C91" s="114"/>
      <c r="D91" s="111" t="s">
        <v>1546</v>
      </c>
      <c r="E91" s="111" t="s">
        <v>1569</v>
      </c>
      <c r="F91" s="111"/>
      <c r="G91" s="110" t="s">
        <v>2074</v>
      </c>
      <c r="H91" s="141">
        <v>1240.8959580000001</v>
      </c>
      <c r="I91" s="280"/>
      <c r="J91" s="72">
        <v>148.52000000000001</v>
      </c>
      <c r="K91" s="271">
        <f t="shared" si="3"/>
        <v>184297.86768216002</v>
      </c>
      <c r="L91" s="111"/>
      <c r="M91" s="73"/>
      <c r="N91" s="112"/>
      <c r="O91" s="111"/>
      <c r="P91" s="312">
        <v>0</v>
      </c>
      <c r="Q91" s="288">
        <f t="shared" si="4"/>
        <v>0</v>
      </c>
      <c r="R91" s="118">
        <v>0</v>
      </c>
      <c r="S91" s="283">
        <v>2016</v>
      </c>
      <c r="T91" s="288">
        <f t="shared" si="5"/>
        <v>199703</v>
      </c>
    </row>
    <row r="92" spans="2:20">
      <c r="B92" s="386" t="s">
        <v>197</v>
      </c>
      <c r="C92" s="114"/>
      <c r="D92" s="111" t="s">
        <v>1546</v>
      </c>
      <c r="E92" s="111" t="s">
        <v>1570</v>
      </c>
      <c r="F92" s="111"/>
      <c r="G92" s="110" t="s">
        <v>2073</v>
      </c>
      <c r="H92" s="141">
        <v>26.560343</v>
      </c>
      <c r="I92" s="280"/>
      <c r="J92" s="72">
        <v>148.52000000000001</v>
      </c>
      <c r="K92" s="271">
        <f t="shared" si="3"/>
        <v>3944.7421423600003</v>
      </c>
      <c r="L92" s="111"/>
      <c r="M92" s="73"/>
      <c r="N92" s="112"/>
      <c r="O92" s="111"/>
      <c r="P92" s="312">
        <v>0</v>
      </c>
      <c r="Q92" s="288">
        <f t="shared" si="4"/>
        <v>0</v>
      </c>
      <c r="R92" s="118">
        <v>0</v>
      </c>
      <c r="S92" s="283">
        <v>2016</v>
      </c>
      <c r="T92" s="288">
        <f t="shared" si="5"/>
        <v>4274</v>
      </c>
    </row>
    <row r="93" spans="2:20">
      <c r="B93" s="386" t="s">
        <v>198</v>
      </c>
      <c r="C93" s="114"/>
      <c r="D93" s="111" t="s">
        <v>1546</v>
      </c>
      <c r="E93" s="111" t="s">
        <v>1571</v>
      </c>
      <c r="F93" s="111"/>
      <c r="G93" s="110" t="s">
        <v>2074</v>
      </c>
      <c r="H93" s="141">
        <v>68.304554999999993</v>
      </c>
      <c r="I93" s="280"/>
      <c r="J93" s="72">
        <v>148.52000000000001</v>
      </c>
      <c r="K93" s="271">
        <f t="shared" si="3"/>
        <v>10144.592508599999</v>
      </c>
      <c r="L93" s="111"/>
      <c r="M93" s="73"/>
      <c r="N93" s="112"/>
      <c r="O93" s="111"/>
      <c r="P93" s="312">
        <v>0</v>
      </c>
      <c r="Q93" s="288">
        <f t="shared" si="4"/>
        <v>0</v>
      </c>
      <c r="R93" s="118">
        <v>0</v>
      </c>
      <c r="S93" s="283">
        <v>2016</v>
      </c>
      <c r="T93" s="288">
        <f t="shared" si="5"/>
        <v>10993</v>
      </c>
    </row>
    <row r="94" spans="2:20">
      <c r="B94" s="386" t="s">
        <v>199</v>
      </c>
      <c r="C94" s="114"/>
      <c r="D94" s="111" t="s">
        <v>1546</v>
      </c>
      <c r="E94" s="111" t="s">
        <v>1571</v>
      </c>
      <c r="F94" s="111"/>
      <c r="G94" s="110" t="s">
        <v>2073</v>
      </c>
      <c r="H94" s="141">
        <v>674.83137099999999</v>
      </c>
      <c r="I94" s="280"/>
      <c r="J94" s="72">
        <v>148.52000000000001</v>
      </c>
      <c r="K94" s="271">
        <f t="shared" si="3"/>
        <v>100225.95522092</v>
      </c>
      <c r="L94" s="111"/>
      <c r="M94" s="73"/>
      <c r="N94" s="112"/>
      <c r="O94" s="111"/>
      <c r="P94" s="312">
        <v>0</v>
      </c>
      <c r="Q94" s="288">
        <f t="shared" si="4"/>
        <v>0</v>
      </c>
      <c r="R94" s="118">
        <v>0</v>
      </c>
      <c r="S94" s="283">
        <v>2016</v>
      </c>
      <c r="T94" s="288">
        <f t="shared" si="5"/>
        <v>108604</v>
      </c>
    </row>
    <row r="95" spans="2:20">
      <c r="B95" s="386" t="s">
        <v>200</v>
      </c>
      <c r="C95" s="114"/>
      <c r="D95" s="111" t="s">
        <v>1546</v>
      </c>
      <c r="E95" s="111" t="s">
        <v>1572</v>
      </c>
      <c r="F95" s="111"/>
      <c r="G95" s="110" t="s">
        <v>2073</v>
      </c>
      <c r="H95" s="141">
        <v>269.88788599999998</v>
      </c>
      <c r="I95" s="280"/>
      <c r="J95" s="72">
        <v>148.52000000000001</v>
      </c>
      <c r="K95" s="271">
        <f t="shared" si="3"/>
        <v>40083.748828720003</v>
      </c>
      <c r="L95" s="111"/>
      <c r="M95" s="73"/>
      <c r="N95" s="112"/>
      <c r="O95" s="111"/>
      <c r="P95" s="312">
        <v>0</v>
      </c>
      <c r="Q95" s="288">
        <f t="shared" si="4"/>
        <v>0</v>
      </c>
      <c r="R95" s="118">
        <v>0</v>
      </c>
      <c r="S95" s="283">
        <v>2016</v>
      </c>
      <c r="T95" s="288">
        <f t="shared" si="5"/>
        <v>43434</v>
      </c>
    </row>
    <row r="96" spans="2:20">
      <c r="B96" s="386" t="s">
        <v>201</v>
      </c>
      <c r="C96" s="114"/>
      <c r="D96" s="111" t="s">
        <v>1546</v>
      </c>
      <c r="E96" s="111" t="s">
        <v>1572</v>
      </c>
      <c r="F96" s="111"/>
      <c r="G96" s="110" t="s">
        <v>2073</v>
      </c>
      <c r="H96" s="141">
        <v>215.763293</v>
      </c>
      <c r="I96" s="280"/>
      <c r="J96" s="72">
        <v>148.52000000000001</v>
      </c>
      <c r="K96" s="271">
        <f t="shared" si="3"/>
        <v>32045.164276360003</v>
      </c>
      <c r="L96" s="111"/>
      <c r="M96" s="73"/>
      <c r="N96" s="112"/>
      <c r="O96" s="111"/>
      <c r="P96" s="312">
        <v>0</v>
      </c>
      <c r="Q96" s="288">
        <f t="shared" si="4"/>
        <v>0</v>
      </c>
      <c r="R96" s="118">
        <v>0</v>
      </c>
      <c r="S96" s="283">
        <v>2016</v>
      </c>
      <c r="T96" s="288">
        <f t="shared" si="5"/>
        <v>34724</v>
      </c>
    </row>
    <row r="97" spans="2:20">
      <c r="B97" s="386" t="s">
        <v>202</v>
      </c>
      <c r="C97" s="114"/>
      <c r="D97" s="111" t="s">
        <v>1546</v>
      </c>
      <c r="E97" s="111" t="s">
        <v>1572</v>
      </c>
      <c r="F97" s="111"/>
      <c r="G97" s="110" t="s">
        <v>2073</v>
      </c>
      <c r="H97" s="141">
        <v>331.41055599999999</v>
      </c>
      <c r="I97" s="280"/>
      <c r="J97" s="72">
        <v>148.52000000000001</v>
      </c>
      <c r="K97" s="271">
        <f t="shared" si="3"/>
        <v>49221.095777120005</v>
      </c>
      <c r="L97" s="111"/>
      <c r="M97" s="73"/>
      <c r="N97" s="112"/>
      <c r="O97" s="111"/>
      <c r="P97" s="312">
        <v>0</v>
      </c>
      <c r="Q97" s="288">
        <f t="shared" si="4"/>
        <v>0</v>
      </c>
      <c r="R97" s="118">
        <v>0</v>
      </c>
      <c r="S97" s="283">
        <v>2016</v>
      </c>
      <c r="T97" s="288">
        <f t="shared" si="5"/>
        <v>53335</v>
      </c>
    </row>
    <row r="98" spans="2:20">
      <c r="B98" s="386" t="s">
        <v>203</v>
      </c>
      <c r="C98" s="114"/>
      <c r="D98" s="111" t="s">
        <v>1546</v>
      </c>
      <c r="E98" s="111" t="s">
        <v>1572</v>
      </c>
      <c r="F98" s="111"/>
      <c r="G98" s="110" t="s">
        <v>2073</v>
      </c>
      <c r="H98" s="141">
        <v>49.344416000000002</v>
      </c>
      <c r="I98" s="280"/>
      <c r="J98" s="72">
        <v>148.52000000000001</v>
      </c>
      <c r="K98" s="271">
        <f t="shared" si="3"/>
        <v>7328.6326643200009</v>
      </c>
      <c r="L98" s="111"/>
      <c r="M98" s="73"/>
      <c r="N98" s="112"/>
      <c r="O98" s="111"/>
      <c r="P98" s="312">
        <v>0</v>
      </c>
      <c r="Q98" s="288">
        <f t="shared" si="4"/>
        <v>0</v>
      </c>
      <c r="R98" s="118">
        <v>0</v>
      </c>
      <c r="S98" s="283">
        <v>2016</v>
      </c>
      <c r="T98" s="288">
        <f t="shared" si="5"/>
        <v>7941</v>
      </c>
    </row>
    <row r="99" spans="2:20">
      <c r="B99" s="386" t="s">
        <v>204</v>
      </c>
      <c r="C99" s="114"/>
      <c r="D99" s="111" t="s">
        <v>1546</v>
      </c>
      <c r="E99" s="111" t="s">
        <v>1573</v>
      </c>
      <c r="F99" s="111"/>
      <c r="G99" s="110" t="s">
        <v>2073</v>
      </c>
      <c r="H99" s="141">
        <v>50.144568</v>
      </c>
      <c r="I99" s="280"/>
      <c r="J99" s="72">
        <v>148.52000000000001</v>
      </c>
      <c r="K99" s="271">
        <f t="shared" si="3"/>
        <v>7447.4712393600003</v>
      </c>
      <c r="L99" s="111"/>
      <c r="M99" s="73"/>
      <c r="N99" s="112"/>
      <c r="O99" s="111"/>
      <c r="P99" s="312">
        <v>0</v>
      </c>
      <c r="Q99" s="288">
        <f t="shared" si="4"/>
        <v>0</v>
      </c>
      <c r="R99" s="118">
        <v>0</v>
      </c>
      <c r="S99" s="283">
        <v>2016</v>
      </c>
      <c r="T99" s="288">
        <f t="shared" si="5"/>
        <v>8070</v>
      </c>
    </row>
    <row r="100" spans="2:20">
      <c r="B100" s="386" t="s">
        <v>205</v>
      </c>
      <c r="C100" s="114"/>
      <c r="D100" s="111" t="s">
        <v>1546</v>
      </c>
      <c r="E100" s="111" t="s">
        <v>1574</v>
      </c>
      <c r="F100" s="111"/>
      <c r="G100" s="110" t="s">
        <v>2073</v>
      </c>
      <c r="H100" s="141">
        <v>926.29827499999999</v>
      </c>
      <c r="I100" s="280"/>
      <c r="J100" s="72">
        <v>148.52000000000001</v>
      </c>
      <c r="K100" s="271">
        <f t="shared" si="3"/>
        <v>137573.81980300002</v>
      </c>
      <c r="L100" s="111"/>
      <c r="M100" s="73"/>
      <c r="N100" s="112"/>
      <c r="O100" s="111"/>
      <c r="P100" s="312">
        <v>0</v>
      </c>
      <c r="Q100" s="288">
        <f t="shared" si="4"/>
        <v>0</v>
      </c>
      <c r="R100" s="118">
        <v>0</v>
      </c>
      <c r="S100" s="283">
        <v>2016</v>
      </c>
      <c r="T100" s="288">
        <f t="shared" si="5"/>
        <v>149074</v>
      </c>
    </row>
    <row r="101" spans="2:20">
      <c r="B101" s="386" t="s">
        <v>206</v>
      </c>
      <c r="C101" s="114"/>
      <c r="D101" s="111" t="s">
        <v>1546</v>
      </c>
      <c r="E101" s="111" t="s">
        <v>1574</v>
      </c>
      <c r="F101" s="111"/>
      <c r="G101" s="110" t="s">
        <v>2073</v>
      </c>
      <c r="H101" s="141">
        <v>235.94329099999999</v>
      </c>
      <c r="I101" s="280"/>
      <c r="J101" s="72">
        <v>148.52000000000001</v>
      </c>
      <c r="K101" s="271">
        <f t="shared" si="3"/>
        <v>35042.297579320002</v>
      </c>
      <c r="L101" s="111"/>
      <c r="M101" s="73"/>
      <c r="N101" s="112"/>
      <c r="O101" s="111"/>
      <c r="P101" s="312">
        <v>0</v>
      </c>
      <c r="Q101" s="288">
        <f t="shared" si="4"/>
        <v>0</v>
      </c>
      <c r="R101" s="118">
        <v>0</v>
      </c>
      <c r="S101" s="283">
        <v>2016</v>
      </c>
      <c r="T101" s="288">
        <f t="shared" si="5"/>
        <v>37971</v>
      </c>
    </row>
    <row r="102" spans="2:20">
      <c r="B102" s="386" t="s">
        <v>207</v>
      </c>
      <c r="C102" s="114"/>
      <c r="D102" s="111" t="s">
        <v>1546</v>
      </c>
      <c r="E102" s="111" t="s">
        <v>1575</v>
      </c>
      <c r="F102" s="111"/>
      <c r="G102" s="110" t="s">
        <v>2073</v>
      </c>
      <c r="H102" s="141">
        <v>43.163952999999999</v>
      </c>
      <c r="I102" s="280"/>
      <c r="J102" s="72">
        <v>148.52000000000001</v>
      </c>
      <c r="K102" s="271">
        <f t="shared" si="3"/>
        <v>6410.7102995600007</v>
      </c>
      <c r="L102" s="111"/>
      <c r="M102" s="73"/>
      <c r="N102" s="112"/>
      <c r="O102" s="111"/>
      <c r="P102" s="312">
        <v>0</v>
      </c>
      <c r="Q102" s="288">
        <f t="shared" si="4"/>
        <v>0</v>
      </c>
      <c r="R102" s="118">
        <v>0</v>
      </c>
      <c r="S102" s="283">
        <v>2016</v>
      </c>
      <c r="T102" s="288">
        <f t="shared" si="5"/>
        <v>6947</v>
      </c>
    </row>
    <row r="103" spans="2:20">
      <c r="B103" s="386" t="s">
        <v>208</v>
      </c>
      <c r="C103" s="114"/>
      <c r="D103" s="111" t="s">
        <v>1546</v>
      </c>
      <c r="E103" s="111" t="s">
        <v>1575</v>
      </c>
      <c r="F103" s="111"/>
      <c r="G103" s="110" t="s">
        <v>2073</v>
      </c>
      <c r="H103" s="141">
        <v>38.306351999999997</v>
      </c>
      <c r="I103" s="280"/>
      <c r="J103" s="72">
        <v>148.52000000000001</v>
      </c>
      <c r="K103" s="271">
        <f t="shared" si="3"/>
        <v>5689.2593990400001</v>
      </c>
      <c r="L103" s="111"/>
      <c r="M103" s="73"/>
      <c r="N103" s="112"/>
      <c r="O103" s="111"/>
      <c r="P103" s="312">
        <v>0</v>
      </c>
      <c r="Q103" s="288">
        <f t="shared" si="4"/>
        <v>0</v>
      </c>
      <c r="R103" s="118">
        <v>0</v>
      </c>
      <c r="S103" s="283">
        <v>2016</v>
      </c>
      <c r="T103" s="288">
        <f t="shared" si="5"/>
        <v>6165</v>
      </c>
    </row>
    <row r="104" spans="2:20">
      <c r="B104" s="386" t="s">
        <v>209</v>
      </c>
      <c r="C104" s="114"/>
      <c r="D104" s="111" t="s">
        <v>1546</v>
      </c>
      <c r="E104" s="111" t="s">
        <v>1575</v>
      </c>
      <c r="F104" s="111"/>
      <c r="G104" s="110" t="s">
        <v>2074</v>
      </c>
      <c r="H104" s="141">
        <v>35.965409999999999</v>
      </c>
      <c r="I104" s="280"/>
      <c r="J104" s="72">
        <v>148.52000000000001</v>
      </c>
      <c r="K104" s="271">
        <f t="shared" si="3"/>
        <v>5341.5826932</v>
      </c>
      <c r="L104" s="111"/>
      <c r="M104" s="73"/>
      <c r="N104" s="112"/>
      <c r="O104" s="111"/>
      <c r="P104" s="312">
        <v>0</v>
      </c>
      <c r="Q104" s="288">
        <f t="shared" si="4"/>
        <v>0</v>
      </c>
      <c r="R104" s="118">
        <v>0</v>
      </c>
      <c r="S104" s="283">
        <v>2016</v>
      </c>
      <c r="T104" s="288">
        <f t="shared" si="5"/>
        <v>5788</v>
      </c>
    </row>
    <row r="105" spans="2:20">
      <c r="B105" s="386" t="s">
        <v>210</v>
      </c>
      <c r="C105" s="114"/>
      <c r="D105" s="111" t="s">
        <v>1546</v>
      </c>
      <c r="E105" s="111" t="s">
        <v>1575</v>
      </c>
      <c r="F105" s="111"/>
      <c r="G105" s="110" t="s">
        <v>2073</v>
      </c>
      <c r="H105" s="141">
        <v>82.191820000000007</v>
      </c>
      <c r="I105" s="280"/>
      <c r="J105" s="72">
        <v>148.52000000000001</v>
      </c>
      <c r="K105" s="271">
        <f t="shared" si="3"/>
        <v>12207.129106400002</v>
      </c>
      <c r="L105" s="111"/>
      <c r="M105" s="73"/>
      <c r="N105" s="112"/>
      <c r="O105" s="111"/>
      <c r="P105" s="312">
        <v>0</v>
      </c>
      <c r="Q105" s="288">
        <f t="shared" si="4"/>
        <v>0</v>
      </c>
      <c r="R105" s="118">
        <v>0</v>
      </c>
      <c r="S105" s="283">
        <v>2016</v>
      </c>
      <c r="T105" s="288">
        <f t="shared" si="5"/>
        <v>13228</v>
      </c>
    </row>
    <row r="106" spans="2:20">
      <c r="B106" s="386" t="s">
        <v>211</v>
      </c>
      <c r="C106" s="114"/>
      <c r="D106" s="111" t="s">
        <v>1546</v>
      </c>
      <c r="E106" s="111" t="s">
        <v>1575</v>
      </c>
      <c r="F106" s="111"/>
      <c r="G106" s="110" t="s">
        <v>2073</v>
      </c>
      <c r="H106" s="141">
        <v>277.29317800000001</v>
      </c>
      <c r="I106" s="280"/>
      <c r="J106" s="72">
        <v>148.52000000000001</v>
      </c>
      <c r="K106" s="271">
        <f t="shared" si="3"/>
        <v>41183.582796560004</v>
      </c>
      <c r="L106" s="111"/>
      <c r="M106" s="73"/>
      <c r="N106" s="112"/>
      <c r="O106" s="111"/>
      <c r="P106" s="312">
        <v>0</v>
      </c>
      <c r="Q106" s="288">
        <f t="shared" si="4"/>
        <v>0</v>
      </c>
      <c r="R106" s="118">
        <v>0</v>
      </c>
      <c r="S106" s="283">
        <v>2016</v>
      </c>
      <c r="T106" s="288">
        <f t="shared" si="5"/>
        <v>44626</v>
      </c>
    </row>
    <row r="107" spans="2:20">
      <c r="B107" s="386" t="s">
        <v>212</v>
      </c>
      <c r="C107" s="114"/>
      <c r="D107" s="111" t="s">
        <v>1546</v>
      </c>
      <c r="E107" s="111" t="s">
        <v>1575</v>
      </c>
      <c r="F107" s="111"/>
      <c r="G107" s="110" t="s">
        <v>2073</v>
      </c>
      <c r="H107" s="141">
        <v>42.356307000000001</v>
      </c>
      <c r="I107" s="280"/>
      <c r="J107" s="72">
        <v>148.52000000000001</v>
      </c>
      <c r="K107" s="271">
        <f t="shared" si="3"/>
        <v>6290.7587156400004</v>
      </c>
      <c r="L107" s="111"/>
      <c r="M107" s="73"/>
      <c r="N107" s="112"/>
      <c r="O107" s="111"/>
      <c r="P107" s="312">
        <v>0</v>
      </c>
      <c r="Q107" s="288">
        <f t="shared" si="4"/>
        <v>0</v>
      </c>
      <c r="R107" s="118">
        <v>0</v>
      </c>
      <c r="S107" s="283">
        <v>2016</v>
      </c>
      <c r="T107" s="288">
        <f t="shared" si="5"/>
        <v>6817</v>
      </c>
    </row>
    <row r="108" spans="2:20">
      <c r="B108" s="386" t="s">
        <v>213</v>
      </c>
      <c r="C108" s="114"/>
      <c r="D108" s="111" t="s">
        <v>1546</v>
      </c>
      <c r="E108" s="111" t="s">
        <v>1575</v>
      </c>
      <c r="F108" s="111"/>
      <c r="G108" s="110" t="s">
        <v>2073</v>
      </c>
      <c r="H108" s="141">
        <v>230.07864900000001</v>
      </c>
      <c r="I108" s="280"/>
      <c r="J108" s="72">
        <v>148.52000000000001</v>
      </c>
      <c r="K108" s="271">
        <f t="shared" si="3"/>
        <v>34171.280949480002</v>
      </c>
      <c r="L108" s="111"/>
      <c r="M108" s="73"/>
      <c r="N108" s="112"/>
      <c r="O108" s="111"/>
      <c r="P108" s="312">
        <v>0</v>
      </c>
      <c r="Q108" s="288">
        <f t="shared" si="4"/>
        <v>0</v>
      </c>
      <c r="R108" s="118">
        <v>0</v>
      </c>
      <c r="S108" s="283">
        <v>2016</v>
      </c>
      <c r="T108" s="288">
        <f t="shared" si="5"/>
        <v>37028</v>
      </c>
    </row>
    <row r="109" spans="2:20">
      <c r="B109" s="386" t="s">
        <v>214</v>
      </c>
      <c r="C109" s="114"/>
      <c r="D109" s="111" t="s">
        <v>1546</v>
      </c>
      <c r="E109" s="111" t="s">
        <v>1575</v>
      </c>
      <c r="F109" s="111"/>
      <c r="G109" s="110" t="s">
        <v>2073</v>
      </c>
      <c r="H109" s="141">
        <v>96.786963999999998</v>
      </c>
      <c r="I109" s="280"/>
      <c r="J109" s="72">
        <v>148.52000000000001</v>
      </c>
      <c r="K109" s="271">
        <f t="shared" si="3"/>
        <v>14374.79989328</v>
      </c>
      <c r="L109" s="111"/>
      <c r="M109" s="73"/>
      <c r="N109" s="112"/>
      <c r="O109" s="111"/>
      <c r="P109" s="312">
        <v>0</v>
      </c>
      <c r="Q109" s="288">
        <f t="shared" si="4"/>
        <v>0</v>
      </c>
      <c r="R109" s="118">
        <v>0</v>
      </c>
      <c r="S109" s="283">
        <v>2016</v>
      </c>
      <c r="T109" s="288">
        <f t="shared" si="5"/>
        <v>15576</v>
      </c>
    </row>
    <row r="110" spans="2:20">
      <c r="B110" s="386" t="s">
        <v>215</v>
      </c>
      <c r="C110" s="114"/>
      <c r="D110" s="111" t="s">
        <v>1546</v>
      </c>
      <c r="E110" s="111" t="s">
        <v>1575</v>
      </c>
      <c r="F110" s="111"/>
      <c r="G110" s="110" t="s">
        <v>2073</v>
      </c>
      <c r="H110" s="141">
        <v>110.495778</v>
      </c>
      <c r="I110" s="280"/>
      <c r="J110" s="72">
        <v>148.52000000000001</v>
      </c>
      <c r="K110" s="271">
        <f t="shared" si="3"/>
        <v>16410.832948560001</v>
      </c>
      <c r="L110" s="111"/>
      <c r="M110" s="73"/>
      <c r="N110" s="112"/>
      <c r="O110" s="111"/>
      <c r="P110" s="312">
        <v>0</v>
      </c>
      <c r="Q110" s="288">
        <f t="shared" si="4"/>
        <v>0</v>
      </c>
      <c r="R110" s="118">
        <v>0</v>
      </c>
      <c r="S110" s="283">
        <v>2016</v>
      </c>
      <c r="T110" s="288">
        <f t="shared" si="5"/>
        <v>17783</v>
      </c>
    </row>
    <row r="111" spans="2:20">
      <c r="B111" s="386" t="s">
        <v>216</v>
      </c>
      <c r="C111" s="114"/>
      <c r="D111" s="111" t="s">
        <v>1546</v>
      </c>
      <c r="E111" s="111" t="s">
        <v>1575</v>
      </c>
      <c r="F111" s="111"/>
      <c r="G111" s="110" t="s">
        <v>2073</v>
      </c>
      <c r="H111" s="141">
        <v>33.876593999999997</v>
      </c>
      <c r="I111" s="280"/>
      <c r="J111" s="72">
        <v>148.52000000000001</v>
      </c>
      <c r="K111" s="271">
        <f t="shared" si="3"/>
        <v>5031.3517408799999</v>
      </c>
      <c r="L111" s="111"/>
      <c r="M111" s="73"/>
      <c r="N111" s="112"/>
      <c r="O111" s="111"/>
      <c r="P111" s="312">
        <v>0</v>
      </c>
      <c r="Q111" s="288">
        <f t="shared" si="4"/>
        <v>0</v>
      </c>
      <c r="R111" s="118">
        <v>0</v>
      </c>
      <c r="S111" s="283">
        <v>2016</v>
      </c>
      <c r="T111" s="288">
        <f t="shared" si="5"/>
        <v>5452</v>
      </c>
    </row>
    <row r="112" spans="2:20">
      <c r="B112" s="386" t="s">
        <v>217</v>
      </c>
      <c r="C112" s="114"/>
      <c r="D112" s="111" t="s">
        <v>1546</v>
      </c>
      <c r="E112" s="111" t="s">
        <v>1575</v>
      </c>
      <c r="F112" s="111"/>
      <c r="G112" s="110" t="s">
        <v>2073</v>
      </c>
      <c r="H112" s="141">
        <v>30.153938</v>
      </c>
      <c r="I112" s="280"/>
      <c r="J112" s="72">
        <v>148.52000000000001</v>
      </c>
      <c r="K112" s="271">
        <f t="shared" si="3"/>
        <v>4478.4628717600008</v>
      </c>
      <c r="L112" s="111"/>
      <c r="M112" s="73"/>
      <c r="N112" s="112"/>
      <c r="O112" s="111"/>
      <c r="P112" s="312">
        <v>0</v>
      </c>
      <c r="Q112" s="288">
        <f t="shared" si="4"/>
        <v>0</v>
      </c>
      <c r="R112" s="118">
        <v>0</v>
      </c>
      <c r="S112" s="283">
        <v>2016</v>
      </c>
      <c r="T112" s="288">
        <f t="shared" si="5"/>
        <v>4853</v>
      </c>
    </row>
    <row r="113" spans="2:20">
      <c r="B113" s="386" t="s">
        <v>218</v>
      </c>
      <c r="C113" s="114"/>
      <c r="D113" s="111" t="s">
        <v>1546</v>
      </c>
      <c r="E113" s="111" t="s">
        <v>1576</v>
      </c>
      <c r="F113" s="111"/>
      <c r="G113" s="110" t="s">
        <v>2074</v>
      </c>
      <c r="H113" s="141">
        <v>40.094596000000003</v>
      </c>
      <c r="I113" s="280"/>
      <c r="J113" s="72">
        <v>148.52000000000001</v>
      </c>
      <c r="K113" s="271">
        <f t="shared" si="3"/>
        <v>5954.8493979200011</v>
      </c>
      <c r="L113" s="111"/>
      <c r="M113" s="73"/>
      <c r="N113" s="112"/>
      <c r="O113" s="111"/>
      <c r="P113" s="312">
        <v>0</v>
      </c>
      <c r="Q113" s="288">
        <f t="shared" si="4"/>
        <v>0</v>
      </c>
      <c r="R113" s="118">
        <v>0</v>
      </c>
      <c r="S113" s="283">
        <v>2016</v>
      </c>
      <c r="T113" s="288">
        <f t="shared" si="5"/>
        <v>6453</v>
      </c>
    </row>
    <row r="114" spans="2:20">
      <c r="B114" s="386" t="s">
        <v>219</v>
      </c>
      <c r="C114" s="114"/>
      <c r="D114" s="111" t="s">
        <v>1547</v>
      </c>
      <c r="E114" s="111" t="s">
        <v>1576</v>
      </c>
      <c r="F114" s="111"/>
      <c r="G114" s="110" t="s">
        <v>2073</v>
      </c>
      <c r="H114" s="141">
        <v>59.357168000000001</v>
      </c>
      <c r="I114" s="280"/>
      <c r="J114" s="72">
        <v>148.52000000000001</v>
      </c>
      <c r="K114" s="271">
        <f t="shared" si="3"/>
        <v>8815.7265913600004</v>
      </c>
      <c r="L114" s="111"/>
      <c r="M114" s="73"/>
      <c r="N114" s="112"/>
      <c r="O114" s="111"/>
      <c r="P114" s="312">
        <v>0</v>
      </c>
      <c r="Q114" s="288">
        <f t="shared" si="4"/>
        <v>0</v>
      </c>
      <c r="R114" s="118">
        <v>0</v>
      </c>
      <c r="S114" s="283">
        <v>2016</v>
      </c>
      <c r="T114" s="288">
        <f t="shared" si="5"/>
        <v>9553</v>
      </c>
    </row>
    <row r="115" spans="2:20">
      <c r="B115" s="386" t="s">
        <v>220</v>
      </c>
      <c r="C115" s="114"/>
      <c r="D115" s="111" t="s">
        <v>1546</v>
      </c>
      <c r="E115" s="111" t="s">
        <v>1577</v>
      </c>
      <c r="F115" s="111"/>
      <c r="G115" s="110" t="s">
        <v>2073</v>
      </c>
      <c r="H115" s="141">
        <v>396.19884999999999</v>
      </c>
      <c r="I115" s="280"/>
      <c r="J115" s="72">
        <v>148.52000000000001</v>
      </c>
      <c r="K115" s="271">
        <f t="shared" si="3"/>
        <v>58843.453202000004</v>
      </c>
      <c r="L115" s="111"/>
      <c r="M115" s="73"/>
      <c r="N115" s="112"/>
      <c r="O115" s="111"/>
      <c r="P115" s="312">
        <v>0</v>
      </c>
      <c r="Q115" s="288">
        <f t="shared" si="4"/>
        <v>0</v>
      </c>
      <c r="R115" s="118">
        <v>0</v>
      </c>
      <c r="S115" s="283">
        <v>2016</v>
      </c>
      <c r="T115" s="288">
        <f t="shared" si="5"/>
        <v>63762</v>
      </c>
    </row>
    <row r="116" spans="2:20">
      <c r="B116" s="386" t="s">
        <v>221</v>
      </c>
      <c r="C116" s="114"/>
      <c r="D116" s="111" t="s">
        <v>1546</v>
      </c>
      <c r="E116" s="111" t="s">
        <v>1577</v>
      </c>
      <c r="F116" s="111"/>
      <c r="G116" s="110" t="s">
        <v>2073</v>
      </c>
      <c r="H116" s="141">
        <v>81.937720999999996</v>
      </c>
      <c r="I116" s="280"/>
      <c r="J116" s="72">
        <v>148.52000000000001</v>
      </c>
      <c r="K116" s="271">
        <f t="shared" si="3"/>
        <v>12169.39032292</v>
      </c>
      <c r="L116" s="111"/>
      <c r="M116" s="73"/>
      <c r="N116" s="112"/>
      <c r="O116" s="111"/>
      <c r="P116" s="312">
        <v>0</v>
      </c>
      <c r="Q116" s="288">
        <f t="shared" si="4"/>
        <v>0</v>
      </c>
      <c r="R116" s="118">
        <v>0</v>
      </c>
      <c r="S116" s="283">
        <v>2016</v>
      </c>
      <c r="T116" s="288">
        <f t="shared" si="5"/>
        <v>13187</v>
      </c>
    </row>
    <row r="117" spans="2:20">
      <c r="B117" s="386" t="s">
        <v>222</v>
      </c>
      <c r="C117" s="114"/>
      <c r="D117" s="111" t="s">
        <v>1546</v>
      </c>
      <c r="E117" s="111" t="s">
        <v>1577</v>
      </c>
      <c r="F117" s="111"/>
      <c r="G117" s="110" t="s">
        <v>2073</v>
      </c>
      <c r="H117" s="141">
        <v>26.142855999999998</v>
      </c>
      <c r="I117" s="280"/>
      <c r="J117" s="72">
        <v>148.52000000000001</v>
      </c>
      <c r="K117" s="271">
        <f t="shared" si="3"/>
        <v>3882.7369731200001</v>
      </c>
      <c r="L117" s="111"/>
      <c r="M117" s="73"/>
      <c r="N117" s="112"/>
      <c r="O117" s="111"/>
      <c r="P117" s="312">
        <v>0</v>
      </c>
      <c r="Q117" s="288">
        <f t="shared" si="4"/>
        <v>0</v>
      </c>
      <c r="R117" s="118">
        <v>0</v>
      </c>
      <c r="S117" s="283">
        <v>2016</v>
      </c>
      <c r="T117" s="288">
        <f t="shared" si="5"/>
        <v>4207</v>
      </c>
    </row>
    <row r="118" spans="2:20">
      <c r="B118" s="386" t="s">
        <v>223</v>
      </c>
      <c r="C118" s="114"/>
      <c r="D118" s="111" t="s">
        <v>1546</v>
      </c>
      <c r="E118" s="111" t="s">
        <v>1578</v>
      </c>
      <c r="F118" s="111"/>
      <c r="G118" s="110" t="s">
        <v>2073</v>
      </c>
      <c r="H118" s="141">
        <v>317.553111</v>
      </c>
      <c r="I118" s="280"/>
      <c r="J118" s="72">
        <v>148.52000000000001</v>
      </c>
      <c r="K118" s="271">
        <f t="shared" si="3"/>
        <v>47162.988045720005</v>
      </c>
      <c r="L118" s="111"/>
      <c r="M118" s="73"/>
      <c r="N118" s="112"/>
      <c r="O118" s="111"/>
      <c r="P118" s="312">
        <v>29.561015300000001</v>
      </c>
      <c r="Q118" s="288">
        <f t="shared" si="4"/>
        <v>15.000000016914168</v>
      </c>
      <c r="R118" s="118">
        <v>443.41523000000001</v>
      </c>
      <c r="S118" s="283">
        <v>2016</v>
      </c>
      <c r="T118" s="288">
        <f t="shared" si="5"/>
        <v>51587</v>
      </c>
    </row>
    <row r="119" spans="2:20">
      <c r="B119" s="386" t="s">
        <v>224</v>
      </c>
      <c r="C119" s="114"/>
      <c r="D119" s="111" t="s">
        <v>1546</v>
      </c>
      <c r="E119" s="111" t="s">
        <v>1579</v>
      </c>
      <c r="F119" s="111"/>
      <c r="G119" s="110" t="s">
        <v>2073</v>
      </c>
      <c r="H119" s="141">
        <v>598.49550799999997</v>
      </c>
      <c r="I119" s="280"/>
      <c r="J119" s="72">
        <v>148.52000000000001</v>
      </c>
      <c r="K119" s="271">
        <f t="shared" si="3"/>
        <v>88888.552848160005</v>
      </c>
      <c r="L119" s="111"/>
      <c r="M119" s="73"/>
      <c r="N119" s="112"/>
      <c r="O119" s="111"/>
      <c r="P119" s="312">
        <v>323.36307099999999</v>
      </c>
      <c r="Q119" s="288">
        <f t="shared" si="4"/>
        <v>14.999999984537506</v>
      </c>
      <c r="R119" s="118">
        <v>4850.4460600000002</v>
      </c>
      <c r="S119" s="283">
        <v>2016</v>
      </c>
      <c r="T119" s="288">
        <f t="shared" si="5"/>
        <v>101583</v>
      </c>
    </row>
    <row r="120" spans="2:20">
      <c r="B120" s="386" t="s">
        <v>225</v>
      </c>
      <c r="C120" s="114"/>
      <c r="D120" s="111" t="s">
        <v>1546</v>
      </c>
      <c r="E120" s="111" t="s">
        <v>1579</v>
      </c>
      <c r="F120" s="111"/>
      <c r="G120" s="110" t="s">
        <v>2073</v>
      </c>
      <c r="H120" s="141">
        <v>578.91817700000001</v>
      </c>
      <c r="I120" s="280"/>
      <c r="J120" s="72">
        <v>148.52000000000001</v>
      </c>
      <c r="K120" s="271">
        <f t="shared" si="3"/>
        <v>85980.927648040015</v>
      </c>
      <c r="L120" s="111"/>
      <c r="M120" s="73"/>
      <c r="N120" s="112"/>
      <c r="O120" s="111"/>
      <c r="P120" s="312">
        <v>0</v>
      </c>
      <c r="Q120" s="288">
        <f t="shared" si="4"/>
        <v>0</v>
      </c>
      <c r="R120" s="118">
        <v>0</v>
      </c>
      <c r="S120" s="283">
        <v>2016</v>
      </c>
      <c r="T120" s="288">
        <f t="shared" si="5"/>
        <v>93168</v>
      </c>
    </row>
    <row r="121" spans="2:20">
      <c r="B121" s="386" t="s">
        <v>226</v>
      </c>
      <c r="C121" s="114"/>
      <c r="D121" s="111" t="s">
        <v>1546</v>
      </c>
      <c r="E121" s="111" t="s">
        <v>1579</v>
      </c>
      <c r="F121" s="111"/>
      <c r="G121" s="110" t="s">
        <v>2073</v>
      </c>
      <c r="H121" s="141">
        <v>31.127721000000001</v>
      </c>
      <c r="I121" s="280"/>
      <c r="J121" s="72">
        <v>148.52000000000001</v>
      </c>
      <c r="K121" s="271">
        <f t="shared" si="3"/>
        <v>4623.0891229200006</v>
      </c>
      <c r="L121" s="111"/>
      <c r="M121" s="73"/>
      <c r="N121" s="112"/>
      <c r="O121" s="111"/>
      <c r="P121" s="312">
        <v>0</v>
      </c>
      <c r="Q121" s="288">
        <f t="shared" si="4"/>
        <v>0</v>
      </c>
      <c r="R121" s="118">
        <v>0</v>
      </c>
      <c r="S121" s="283">
        <v>2016</v>
      </c>
      <c r="T121" s="288">
        <f t="shared" si="5"/>
        <v>5010</v>
      </c>
    </row>
    <row r="122" spans="2:20">
      <c r="B122" s="386" t="s">
        <v>227</v>
      </c>
      <c r="C122" s="114"/>
      <c r="D122" s="111" t="s">
        <v>1546</v>
      </c>
      <c r="E122" s="111" t="s">
        <v>1579</v>
      </c>
      <c r="F122" s="111"/>
      <c r="G122" s="110" t="s">
        <v>2073</v>
      </c>
      <c r="H122" s="141">
        <v>79.889159000000006</v>
      </c>
      <c r="I122" s="280"/>
      <c r="J122" s="72">
        <v>148.52000000000001</v>
      </c>
      <c r="K122" s="271">
        <f t="shared" si="3"/>
        <v>11865.137894680001</v>
      </c>
      <c r="L122" s="111"/>
      <c r="M122" s="73"/>
      <c r="N122" s="112"/>
      <c r="O122" s="111"/>
      <c r="P122" s="312">
        <v>0</v>
      </c>
      <c r="Q122" s="288">
        <f t="shared" si="4"/>
        <v>0</v>
      </c>
      <c r="R122" s="118">
        <v>0</v>
      </c>
      <c r="S122" s="283">
        <v>2016</v>
      </c>
      <c r="T122" s="288">
        <f t="shared" si="5"/>
        <v>12857</v>
      </c>
    </row>
    <row r="123" spans="2:20">
      <c r="B123" s="386" t="s">
        <v>228</v>
      </c>
      <c r="C123" s="114"/>
      <c r="D123" s="111" t="s">
        <v>1546</v>
      </c>
      <c r="E123" s="111" t="s">
        <v>1579</v>
      </c>
      <c r="F123" s="111"/>
      <c r="G123" s="110" t="s">
        <v>2073</v>
      </c>
      <c r="H123" s="141">
        <v>31.999915999999999</v>
      </c>
      <c r="I123" s="280"/>
      <c r="J123" s="72">
        <v>148.52000000000001</v>
      </c>
      <c r="K123" s="271">
        <f t="shared" si="3"/>
        <v>4752.6275243199998</v>
      </c>
      <c r="L123" s="111"/>
      <c r="M123" s="73"/>
      <c r="N123" s="112"/>
      <c r="O123" s="111"/>
      <c r="P123" s="312">
        <v>0</v>
      </c>
      <c r="Q123" s="288">
        <f t="shared" si="4"/>
        <v>0</v>
      </c>
      <c r="R123" s="118">
        <v>0</v>
      </c>
      <c r="S123" s="283">
        <v>2016</v>
      </c>
      <c r="T123" s="288">
        <f t="shared" si="5"/>
        <v>5150</v>
      </c>
    </row>
    <row r="124" spans="2:20">
      <c r="B124" s="386" t="s">
        <v>229</v>
      </c>
      <c r="C124" s="114"/>
      <c r="D124" s="111" t="s">
        <v>1547</v>
      </c>
      <c r="E124" s="111" t="s">
        <v>1580</v>
      </c>
      <c r="F124" s="111"/>
      <c r="G124" s="110" t="s">
        <v>2073</v>
      </c>
      <c r="H124" s="141">
        <v>73.351043000000004</v>
      </c>
      <c r="I124" s="280"/>
      <c r="J124" s="72">
        <v>148.52000000000001</v>
      </c>
      <c r="K124" s="271">
        <f t="shared" si="3"/>
        <v>10894.096906360001</v>
      </c>
      <c r="L124" s="111"/>
      <c r="M124" s="73"/>
      <c r="N124" s="112"/>
      <c r="O124" s="111"/>
      <c r="P124" s="312">
        <v>0</v>
      </c>
      <c r="Q124" s="288">
        <f t="shared" si="4"/>
        <v>0</v>
      </c>
      <c r="R124" s="118">
        <v>0</v>
      </c>
      <c r="S124" s="283">
        <v>2016</v>
      </c>
      <c r="T124" s="288">
        <f t="shared" si="5"/>
        <v>11805</v>
      </c>
    </row>
    <row r="125" spans="2:20">
      <c r="B125" s="386" t="s">
        <v>230</v>
      </c>
      <c r="C125" s="114"/>
      <c r="D125" s="111" t="s">
        <v>1547</v>
      </c>
      <c r="E125" s="111" t="s">
        <v>1580</v>
      </c>
      <c r="F125" s="111"/>
      <c r="G125" s="110" t="s">
        <v>2073</v>
      </c>
      <c r="H125" s="141">
        <v>247.08398099999999</v>
      </c>
      <c r="I125" s="280"/>
      <c r="J125" s="72">
        <v>148.52000000000001</v>
      </c>
      <c r="K125" s="271">
        <f t="shared" si="3"/>
        <v>36696.912858119998</v>
      </c>
      <c r="L125" s="111"/>
      <c r="M125" s="73"/>
      <c r="N125" s="112"/>
      <c r="O125" s="111"/>
      <c r="P125" s="312">
        <v>0</v>
      </c>
      <c r="Q125" s="288">
        <f t="shared" si="4"/>
        <v>0</v>
      </c>
      <c r="R125" s="118">
        <v>0</v>
      </c>
      <c r="S125" s="283">
        <v>2016</v>
      </c>
      <c r="T125" s="288">
        <f t="shared" si="5"/>
        <v>39764</v>
      </c>
    </row>
    <row r="126" spans="2:20">
      <c r="B126" s="386" t="s">
        <v>231</v>
      </c>
      <c r="C126" s="114"/>
      <c r="D126" s="111" t="s">
        <v>1547</v>
      </c>
      <c r="E126" s="111" t="s">
        <v>1580</v>
      </c>
      <c r="F126" s="111"/>
      <c r="G126" s="110" t="s">
        <v>2073</v>
      </c>
      <c r="H126" s="141">
        <v>294.875564</v>
      </c>
      <c r="I126" s="280"/>
      <c r="J126" s="72">
        <v>148.52000000000001</v>
      </c>
      <c r="K126" s="271">
        <f t="shared" si="3"/>
        <v>43794.918765280003</v>
      </c>
      <c r="L126" s="111"/>
      <c r="M126" s="73"/>
      <c r="N126" s="112"/>
      <c r="O126" s="111"/>
      <c r="P126" s="312">
        <v>0</v>
      </c>
      <c r="Q126" s="288">
        <f t="shared" si="4"/>
        <v>0</v>
      </c>
      <c r="R126" s="118">
        <v>0</v>
      </c>
      <c r="S126" s="283">
        <v>2016</v>
      </c>
      <c r="T126" s="288">
        <f t="shared" si="5"/>
        <v>47456</v>
      </c>
    </row>
    <row r="127" spans="2:20">
      <c r="B127" s="386" t="s">
        <v>232</v>
      </c>
      <c r="C127" s="114"/>
      <c r="D127" s="111" t="s">
        <v>1547</v>
      </c>
      <c r="E127" s="111" t="s">
        <v>1580</v>
      </c>
      <c r="F127" s="111"/>
      <c r="G127" s="110" t="s">
        <v>2073</v>
      </c>
      <c r="H127" s="141">
        <v>46.240955</v>
      </c>
      <c r="I127" s="280"/>
      <c r="J127" s="72">
        <v>148.52000000000001</v>
      </c>
      <c r="K127" s="271">
        <f t="shared" si="3"/>
        <v>6867.7066366000008</v>
      </c>
      <c r="L127" s="111"/>
      <c r="M127" s="73"/>
      <c r="N127" s="112"/>
      <c r="O127" s="111"/>
      <c r="P127" s="312">
        <v>0</v>
      </c>
      <c r="Q127" s="288">
        <f t="shared" si="4"/>
        <v>0</v>
      </c>
      <c r="R127" s="118">
        <v>0</v>
      </c>
      <c r="S127" s="283">
        <v>2016</v>
      </c>
      <c r="T127" s="288">
        <f t="shared" si="5"/>
        <v>7442</v>
      </c>
    </row>
    <row r="128" spans="2:20">
      <c r="B128" s="386" t="s">
        <v>233</v>
      </c>
      <c r="C128" s="114"/>
      <c r="D128" s="111" t="s">
        <v>1547</v>
      </c>
      <c r="E128" s="111" t="s">
        <v>1580</v>
      </c>
      <c r="F128" s="111"/>
      <c r="G128" s="110" t="s">
        <v>2073</v>
      </c>
      <c r="H128" s="141">
        <v>29.048113000000001</v>
      </c>
      <c r="I128" s="280"/>
      <c r="J128" s="72">
        <v>148.52000000000001</v>
      </c>
      <c r="K128" s="271">
        <f t="shared" si="3"/>
        <v>4314.2257427600007</v>
      </c>
      <c r="L128" s="111"/>
      <c r="M128" s="73"/>
      <c r="N128" s="112"/>
      <c r="O128" s="111"/>
      <c r="P128" s="312">
        <v>0</v>
      </c>
      <c r="Q128" s="288">
        <f t="shared" si="4"/>
        <v>0</v>
      </c>
      <c r="R128" s="118">
        <v>0</v>
      </c>
      <c r="S128" s="283">
        <v>2016</v>
      </c>
      <c r="T128" s="288">
        <f t="shared" si="5"/>
        <v>4675</v>
      </c>
    </row>
    <row r="129" spans="2:20">
      <c r="B129" s="386" t="s">
        <v>234</v>
      </c>
      <c r="C129" s="114"/>
      <c r="D129" s="111" t="s">
        <v>1547</v>
      </c>
      <c r="E129" s="111" t="s">
        <v>1580</v>
      </c>
      <c r="F129" s="111"/>
      <c r="G129" s="110" t="s">
        <v>2073</v>
      </c>
      <c r="H129" s="141">
        <v>78.390111000000005</v>
      </c>
      <c r="I129" s="280"/>
      <c r="J129" s="72">
        <v>148.52000000000001</v>
      </c>
      <c r="K129" s="271">
        <f t="shared" si="3"/>
        <v>11642.499285720001</v>
      </c>
      <c r="L129" s="111"/>
      <c r="M129" s="73"/>
      <c r="N129" s="112"/>
      <c r="O129" s="111"/>
      <c r="P129" s="312">
        <v>0</v>
      </c>
      <c r="Q129" s="288">
        <f t="shared" si="4"/>
        <v>0</v>
      </c>
      <c r="R129" s="118">
        <v>0</v>
      </c>
      <c r="S129" s="283">
        <v>2016</v>
      </c>
      <c r="T129" s="288">
        <f t="shared" si="5"/>
        <v>12616</v>
      </c>
    </row>
    <row r="130" spans="2:20">
      <c r="B130" s="386" t="s">
        <v>235</v>
      </c>
      <c r="C130" s="114"/>
      <c r="D130" s="111" t="s">
        <v>1547</v>
      </c>
      <c r="E130" s="111" t="s">
        <v>1580</v>
      </c>
      <c r="F130" s="111"/>
      <c r="G130" s="110" t="s">
        <v>2073</v>
      </c>
      <c r="H130" s="141">
        <v>190.05989099999999</v>
      </c>
      <c r="I130" s="280"/>
      <c r="J130" s="72">
        <v>148.52000000000001</v>
      </c>
      <c r="K130" s="271">
        <f t="shared" si="3"/>
        <v>28227.69501132</v>
      </c>
      <c r="L130" s="111"/>
      <c r="M130" s="73"/>
      <c r="N130" s="112"/>
      <c r="O130" s="111"/>
      <c r="P130" s="312">
        <v>0</v>
      </c>
      <c r="Q130" s="288">
        <f t="shared" si="4"/>
        <v>0</v>
      </c>
      <c r="R130" s="118">
        <v>0</v>
      </c>
      <c r="S130" s="283">
        <v>2016</v>
      </c>
      <c r="T130" s="288">
        <f t="shared" si="5"/>
        <v>30587</v>
      </c>
    </row>
    <row r="131" spans="2:20">
      <c r="B131" s="386" t="s">
        <v>236</v>
      </c>
      <c r="C131" s="114"/>
      <c r="D131" s="111" t="s">
        <v>1546</v>
      </c>
      <c r="E131" s="111" t="s">
        <v>1581</v>
      </c>
      <c r="F131" s="111"/>
      <c r="G131" s="110" t="s">
        <v>2073</v>
      </c>
      <c r="H131" s="141">
        <v>271.392067</v>
      </c>
      <c r="I131" s="280"/>
      <c r="J131" s="72">
        <v>148.52000000000001</v>
      </c>
      <c r="K131" s="271">
        <f t="shared" si="3"/>
        <v>40307.149790840005</v>
      </c>
      <c r="L131" s="111"/>
      <c r="M131" s="73"/>
      <c r="N131" s="112"/>
      <c r="O131" s="111"/>
      <c r="P131" s="312">
        <v>0</v>
      </c>
      <c r="Q131" s="288">
        <f t="shared" si="4"/>
        <v>0</v>
      </c>
      <c r="R131" s="118">
        <v>0</v>
      </c>
      <c r="S131" s="283">
        <v>2016</v>
      </c>
      <c r="T131" s="288">
        <f t="shared" si="5"/>
        <v>43676</v>
      </c>
    </row>
    <row r="132" spans="2:20">
      <c r="B132" s="386" t="s">
        <v>237</v>
      </c>
      <c r="C132" s="114"/>
      <c r="D132" s="111" t="s">
        <v>1546</v>
      </c>
      <c r="E132" s="111" t="s">
        <v>1582</v>
      </c>
      <c r="F132" s="111"/>
      <c r="G132" s="110" t="s">
        <v>2073</v>
      </c>
      <c r="H132" s="141">
        <v>8.7524899999999999</v>
      </c>
      <c r="I132" s="280"/>
      <c r="J132" s="72">
        <v>148.52000000000001</v>
      </c>
      <c r="K132" s="271">
        <f t="shared" si="3"/>
        <v>1299.9198148</v>
      </c>
      <c r="L132" s="111"/>
      <c r="M132" s="73"/>
      <c r="N132" s="112"/>
      <c r="O132" s="111"/>
      <c r="P132" s="312">
        <v>0</v>
      </c>
      <c r="Q132" s="288">
        <f t="shared" si="4"/>
        <v>0</v>
      </c>
      <c r="R132" s="118">
        <v>0</v>
      </c>
      <c r="S132" s="283">
        <v>2016</v>
      </c>
      <c r="T132" s="288">
        <f t="shared" si="5"/>
        <v>1409</v>
      </c>
    </row>
    <row r="133" spans="2:20">
      <c r="B133" s="386" t="s">
        <v>238</v>
      </c>
      <c r="C133" s="114"/>
      <c r="D133" s="111" t="s">
        <v>1546</v>
      </c>
      <c r="E133" s="111" t="s">
        <v>1583</v>
      </c>
      <c r="F133" s="111"/>
      <c r="G133" s="110" t="s">
        <v>2073</v>
      </c>
      <c r="H133" s="141">
        <v>1270.0088470000001</v>
      </c>
      <c r="I133" s="280"/>
      <c r="J133" s="72">
        <v>148.52000000000001</v>
      </c>
      <c r="K133" s="271">
        <f t="shared" si="3"/>
        <v>188621.71395644001</v>
      </c>
      <c r="L133" s="111"/>
      <c r="M133" s="73"/>
      <c r="N133" s="112"/>
      <c r="O133" s="111"/>
      <c r="P133" s="312">
        <v>374.57169299999998</v>
      </c>
      <c r="Q133" s="288">
        <f t="shared" si="4"/>
        <v>14.999999986651421</v>
      </c>
      <c r="R133" s="118">
        <v>5618.57539</v>
      </c>
      <c r="S133" s="283">
        <v>2016</v>
      </c>
      <c r="T133" s="288">
        <f t="shared" si="5"/>
        <v>210487</v>
      </c>
    </row>
    <row r="134" spans="2:20">
      <c r="B134" s="386" t="s">
        <v>239</v>
      </c>
      <c r="C134" s="114"/>
      <c r="D134" s="111" t="s">
        <v>1546</v>
      </c>
      <c r="E134" s="111" t="s">
        <v>1583</v>
      </c>
      <c r="F134" s="111"/>
      <c r="G134" s="110" t="s">
        <v>2073</v>
      </c>
      <c r="H134" s="141">
        <v>189.38427999999999</v>
      </c>
      <c r="I134" s="280"/>
      <c r="J134" s="72">
        <v>148.52000000000001</v>
      </c>
      <c r="K134" s="271">
        <f t="shared" si="3"/>
        <v>28127.353265599999</v>
      </c>
      <c r="L134" s="111"/>
      <c r="M134" s="73"/>
      <c r="N134" s="112"/>
      <c r="O134" s="111"/>
      <c r="P134" s="312">
        <v>0</v>
      </c>
      <c r="Q134" s="288">
        <f t="shared" si="4"/>
        <v>0</v>
      </c>
      <c r="R134" s="118">
        <v>0</v>
      </c>
      <c r="S134" s="283">
        <v>2016</v>
      </c>
      <c r="T134" s="288">
        <f t="shared" si="5"/>
        <v>30479</v>
      </c>
    </row>
    <row r="135" spans="2:20">
      <c r="B135" s="386" t="s">
        <v>240</v>
      </c>
      <c r="C135" s="114"/>
      <c r="D135" s="111" t="s">
        <v>1546</v>
      </c>
      <c r="E135" s="111" t="s">
        <v>1584</v>
      </c>
      <c r="F135" s="111"/>
      <c r="G135" s="110" t="s">
        <v>2073</v>
      </c>
      <c r="H135" s="141">
        <v>534.12726399999997</v>
      </c>
      <c r="I135" s="280"/>
      <c r="J135" s="72">
        <v>148.52000000000001</v>
      </c>
      <c r="K135" s="271">
        <f t="shared" si="3"/>
        <v>79328.581249280003</v>
      </c>
      <c r="L135" s="111"/>
      <c r="M135" s="73"/>
      <c r="N135" s="112"/>
      <c r="O135" s="111"/>
      <c r="P135" s="312">
        <v>0</v>
      </c>
      <c r="Q135" s="288">
        <f t="shared" si="4"/>
        <v>0</v>
      </c>
      <c r="R135" s="118">
        <v>0</v>
      </c>
      <c r="S135" s="283">
        <v>2016</v>
      </c>
      <c r="T135" s="288">
        <f t="shared" si="5"/>
        <v>85960</v>
      </c>
    </row>
    <row r="136" spans="2:20">
      <c r="B136" s="386" t="s">
        <v>241</v>
      </c>
      <c r="C136" s="114"/>
      <c r="D136" s="111" t="s">
        <v>1546</v>
      </c>
      <c r="E136" s="111" t="s">
        <v>1584</v>
      </c>
      <c r="F136" s="111"/>
      <c r="G136" s="110" t="s">
        <v>2073</v>
      </c>
      <c r="H136" s="141">
        <v>31.964423</v>
      </c>
      <c r="I136" s="280"/>
      <c r="J136" s="72">
        <v>148.52000000000001</v>
      </c>
      <c r="K136" s="271">
        <f t="shared" si="3"/>
        <v>4747.3561039599999</v>
      </c>
      <c r="L136" s="111"/>
      <c r="M136" s="73"/>
      <c r="N136" s="112"/>
      <c r="O136" s="111"/>
      <c r="P136" s="312">
        <v>0</v>
      </c>
      <c r="Q136" s="288">
        <f t="shared" si="4"/>
        <v>0</v>
      </c>
      <c r="R136" s="118">
        <v>0</v>
      </c>
      <c r="S136" s="283">
        <v>2016</v>
      </c>
      <c r="T136" s="288">
        <f t="shared" si="5"/>
        <v>5144</v>
      </c>
    </row>
    <row r="137" spans="2:20">
      <c r="B137" s="386" t="s">
        <v>242</v>
      </c>
      <c r="C137" s="114"/>
      <c r="D137" s="111" t="s">
        <v>1546</v>
      </c>
      <c r="E137" s="111" t="s">
        <v>1585</v>
      </c>
      <c r="F137" s="111"/>
      <c r="G137" s="110" t="s">
        <v>2073</v>
      </c>
      <c r="H137" s="141">
        <v>913.10774300000003</v>
      </c>
      <c r="I137" s="280"/>
      <c r="J137" s="72">
        <v>148.52000000000001</v>
      </c>
      <c r="K137" s="271">
        <f t="shared" si="3"/>
        <v>135614.76199036001</v>
      </c>
      <c r="L137" s="111"/>
      <c r="M137" s="73"/>
      <c r="N137" s="112"/>
      <c r="O137" s="111"/>
      <c r="P137" s="312">
        <v>0</v>
      </c>
      <c r="Q137" s="288">
        <f t="shared" si="4"/>
        <v>0</v>
      </c>
      <c r="R137" s="118">
        <v>0</v>
      </c>
      <c r="S137" s="283">
        <v>2016</v>
      </c>
      <c r="T137" s="288">
        <f t="shared" si="5"/>
        <v>146951</v>
      </c>
    </row>
    <row r="138" spans="2:20">
      <c r="B138" s="386" t="s">
        <v>243</v>
      </c>
      <c r="C138" s="114"/>
      <c r="D138" s="111" t="s">
        <v>1546</v>
      </c>
      <c r="E138" s="111" t="s">
        <v>1558</v>
      </c>
      <c r="F138" s="111"/>
      <c r="G138" s="110" t="s">
        <v>2073</v>
      </c>
      <c r="H138" s="141">
        <v>41.314121999999998</v>
      </c>
      <c r="I138" s="280"/>
      <c r="J138" s="72">
        <v>148.52000000000001</v>
      </c>
      <c r="K138" s="271">
        <f t="shared" si="3"/>
        <v>6135.9733994400003</v>
      </c>
      <c r="L138" s="111"/>
      <c r="M138" s="73"/>
      <c r="N138" s="112"/>
      <c r="O138" s="111"/>
      <c r="P138" s="312">
        <v>0</v>
      </c>
      <c r="Q138" s="288">
        <f t="shared" si="4"/>
        <v>0</v>
      </c>
      <c r="R138" s="118">
        <v>0</v>
      </c>
      <c r="S138" s="283">
        <v>2016</v>
      </c>
      <c r="T138" s="288">
        <f t="shared" si="5"/>
        <v>6649</v>
      </c>
    </row>
    <row r="139" spans="2:20">
      <c r="B139" s="386" t="s">
        <v>244</v>
      </c>
      <c r="C139" s="114"/>
      <c r="D139" s="111" t="s">
        <v>1547</v>
      </c>
      <c r="E139" s="111" t="s">
        <v>1586</v>
      </c>
      <c r="F139" s="111"/>
      <c r="G139" s="110" t="s">
        <v>2073</v>
      </c>
      <c r="H139" s="141">
        <v>96.384544000000005</v>
      </c>
      <c r="I139" s="280"/>
      <c r="J139" s="72">
        <v>148.52000000000001</v>
      </c>
      <c r="K139" s="271">
        <f t="shared" si="3"/>
        <v>14315.032474880001</v>
      </c>
      <c r="L139" s="111"/>
      <c r="M139" s="73"/>
      <c r="N139" s="112"/>
      <c r="O139" s="111"/>
      <c r="P139" s="312">
        <v>0</v>
      </c>
      <c r="Q139" s="288">
        <f t="shared" si="4"/>
        <v>0</v>
      </c>
      <c r="R139" s="118">
        <v>0</v>
      </c>
      <c r="S139" s="283">
        <v>2016</v>
      </c>
      <c r="T139" s="288">
        <f t="shared" si="5"/>
        <v>15512</v>
      </c>
    </row>
    <row r="140" spans="2:20">
      <c r="B140" s="386" t="s">
        <v>245</v>
      </c>
      <c r="C140" s="114"/>
      <c r="D140" s="111" t="s">
        <v>1546</v>
      </c>
      <c r="E140" s="111" t="s">
        <v>1587</v>
      </c>
      <c r="F140" s="111"/>
      <c r="G140" s="110" t="s">
        <v>2073</v>
      </c>
      <c r="H140" s="141">
        <v>960.67564300000004</v>
      </c>
      <c r="I140" s="280"/>
      <c r="J140" s="72">
        <v>148.52000000000001</v>
      </c>
      <c r="K140" s="271">
        <f t="shared" ref="K140:K203" si="6">J140*H140</f>
        <v>142679.54649836002</v>
      </c>
      <c r="L140" s="111"/>
      <c r="M140" s="73"/>
      <c r="N140" s="112"/>
      <c r="O140" s="111"/>
      <c r="P140" s="312">
        <v>774.62094000000002</v>
      </c>
      <c r="Q140" s="288">
        <f t="shared" ref="Q140:Q203" si="7">IFERROR(R140/P140,0)</f>
        <v>15</v>
      </c>
      <c r="R140" s="118">
        <v>11619.3141</v>
      </c>
      <c r="S140" s="283">
        <v>2016</v>
      </c>
      <c r="T140" s="288">
        <f t="shared" si="5"/>
        <v>167217</v>
      </c>
    </row>
    <row r="141" spans="2:20">
      <c r="B141" s="386" t="s">
        <v>246</v>
      </c>
      <c r="C141" s="114"/>
      <c r="D141" s="111" t="s">
        <v>1546</v>
      </c>
      <c r="E141" s="111" t="s">
        <v>1588</v>
      </c>
      <c r="F141" s="111"/>
      <c r="G141" s="110" t="s">
        <v>2073</v>
      </c>
      <c r="H141" s="141">
        <v>593.68777899999998</v>
      </c>
      <c r="I141" s="280"/>
      <c r="J141" s="72">
        <v>148.52000000000001</v>
      </c>
      <c r="K141" s="271">
        <f t="shared" si="6"/>
        <v>88174.508937079998</v>
      </c>
      <c r="L141" s="111"/>
      <c r="M141" s="73"/>
      <c r="N141" s="112"/>
      <c r="O141" s="111"/>
      <c r="P141" s="312">
        <v>4.7723988400000001</v>
      </c>
      <c r="Q141" s="288">
        <f t="shared" si="7"/>
        <v>299.99999958092354</v>
      </c>
      <c r="R141" s="118">
        <v>1431.71965</v>
      </c>
      <c r="S141" s="283">
        <v>2016</v>
      </c>
      <c r="T141" s="288">
        <f t="shared" ref="T141:T204" si="8">IFERROR(ROUND((K141*(1+PPI_Existing)^(YEAR-S141))+(R141*((1+LandInd_Existing)^(YEAR-S141))),0),0)</f>
        <v>97099</v>
      </c>
    </row>
    <row r="142" spans="2:20">
      <c r="B142" s="386" t="s">
        <v>247</v>
      </c>
      <c r="C142" s="114"/>
      <c r="D142" s="111" t="s">
        <v>1546</v>
      </c>
      <c r="E142" s="111" t="s">
        <v>1589</v>
      </c>
      <c r="F142" s="111"/>
      <c r="G142" s="110" t="s">
        <v>2073</v>
      </c>
      <c r="H142" s="141">
        <v>1050.9394299999999</v>
      </c>
      <c r="I142" s="280"/>
      <c r="J142" s="72">
        <v>148.52000000000001</v>
      </c>
      <c r="K142" s="271">
        <f t="shared" si="6"/>
        <v>156085.52414359999</v>
      </c>
      <c r="L142" s="111"/>
      <c r="M142" s="73"/>
      <c r="N142" s="112"/>
      <c r="O142" s="111"/>
      <c r="P142" s="312">
        <v>0</v>
      </c>
      <c r="Q142" s="288">
        <f t="shared" si="7"/>
        <v>0</v>
      </c>
      <c r="R142" s="118">
        <v>0</v>
      </c>
      <c r="S142" s="283">
        <v>2016</v>
      </c>
      <c r="T142" s="288">
        <f t="shared" si="8"/>
        <v>169133</v>
      </c>
    </row>
    <row r="143" spans="2:20">
      <c r="B143" s="386" t="s">
        <v>248</v>
      </c>
      <c r="C143" s="114"/>
      <c r="D143" s="111" t="s">
        <v>1547</v>
      </c>
      <c r="E143" s="111" t="s">
        <v>1589</v>
      </c>
      <c r="F143" s="111"/>
      <c r="G143" s="110" t="s">
        <v>2073</v>
      </c>
      <c r="H143" s="141">
        <v>379.10355800000002</v>
      </c>
      <c r="I143" s="280"/>
      <c r="J143" s="72">
        <v>148.52000000000001</v>
      </c>
      <c r="K143" s="271">
        <f t="shared" si="6"/>
        <v>56304.460434160006</v>
      </c>
      <c r="L143" s="111"/>
      <c r="M143" s="73"/>
      <c r="N143" s="112"/>
      <c r="O143" s="111"/>
      <c r="P143" s="312">
        <v>0</v>
      </c>
      <c r="Q143" s="288">
        <f t="shared" si="7"/>
        <v>0</v>
      </c>
      <c r="R143" s="118">
        <v>0</v>
      </c>
      <c r="S143" s="283">
        <v>2016</v>
      </c>
      <c r="T143" s="288">
        <f t="shared" si="8"/>
        <v>61011</v>
      </c>
    </row>
    <row r="144" spans="2:20">
      <c r="B144" s="386" t="s">
        <v>249</v>
      </c>
      <c r="C144" s="114"/>
      <c r="D144" s="111" t="s">
        <v>1547</v>
      </c>
      <c r="E144" s="111" t="s">
        <v>1589</v>
      </c>
      <c r="F144" s="111"/>
      <c r="G144" s="110" t="s">
        <v>2073</v>
      </c>
      <c r="H144" s="141">
        <v>83.192430000000002</v>
      </c>
      <c r="I144" s="280"/>
      <c r="J144" s="72">
        <v>148.52000000000001</v>
      </c>
      <c r="K144" s="271">
        <f t="shared" si="6"/>
        <v>12355.7397036</v>
      </c>
      <c r="L144" s="111"/>
      <c r="M144" s="73"/>
      <c r="N144" s="112"/>
      <c r="O144" s="111"/>
      <c r="P144" s="312">
        <v>0</v>
      </c>
      <c r="Q144" s="288">
        <f t="shared" si="7"/>
        <v>0</v>
      </c>
      <c r="R144" s="118">
        <v>0</v>
      </c>
      <c r="S144" s="283">
        <v>2016</v>
      </c>
      <c r="T144" s="288">
        <f t="shared" si="8"/>
        <v>13389</v>
      </c>
    </row>
    <row r="145" spans="2:20">
      <c r="B145" s="386" t="s">
        <v>250</v>
      </c>
      <c r="C145" s="114"/>
      <c r="D145" s="111" t="s">
        <v>1547</v>
      </c>
      <c r="E145" s="111" t="s">
        <v>1589</v>
      </c>
      <c r="F145" s="111"/>
      <c r="G145" s="110" t="s">
        <v>2073</v>
      </c>
      <c r="H145" s="141">
        <v>114.757885</v>
      </c>
      <c r="I145" s="280"/>
      <c r="J145" s="72">
        <v>148.52000000000001</v>
      </c>
      <c r="K145" s="271">
        <f t="shared" si="6"/>
        <v>17043.8410802</v>
      </c>
      <c r="L145" s="111"/>
      <c r="M145" s="73"/>
      <c r="N145" s="112"/>
      <c r="O145" s="111"/>
      <c r="P145" s="312">
        <v>0</v>
      </c>
      <c r="Q145" s="288">
        <f t="shared" si="7"/>
        <v>0</v>
      </c>
      <c r="R145" s="118">
        <v>0</v>
      </c>
      <c r="S145" s="283">
        <v>2016</v>
      </c>
      <c r="T145" s="288">
        <f t="shared" si="8"/>
        <v>18469</v>
      </c>
    </row>
    <row r="146" spans="2:20">
      <c r="B146" s="386" t="s">
        <v>251</v>
      </c>
      <c r="C146" s="114"/>
      <c r="D146" s="111" t="s">
        <v>1547</v>
      </c>
      <c r="E146" s="111" t="s">
        <v>1589</v>
      </c>
      <c r="F146" s="111"/>
      <c r="G146" s="110" t="s">
        <v>2073</v>
      </c>
      <c r="H146" s="141">
        <v>1111.6947869999999</v>
      </c>
      <c r="I146" s="280"/>
      <c r="J146" s="72">
        <v>148.52000000000001</v>
      </c>
      <c r="K146" s="271">
        <f t="shared" si="6"/>
        <v>165108.90976524001</v>
      </c>
      <c r="L146" s="111"/>
      <c r="M146" s="73"/>
      <c r="N146" s="112"/>
      <c r="O146" s="111"/>
      <c r="P146" s="312">
        <v>0</v>
      </c>
      <c r="Q146" s="288">
        <f t="shared" si="7"/>
        <v>0</v>
      </c>
      <c r="R146" s="118">
        <v>0</v>
      </c>
      <c r="S146" s="283">
        <v>2016</v>
      </c>
      <c r="T146" s="288">
        <f t="shared" si="8"/>
        <v>178910</v>
      </c>
    </row>
    <row r="147" spans="2:20">
      <c r="B147" s="386" t="s">
        <v>252</v>
      </c>
      <c r="C147" s="114"/>
      <c r="D147" s="111" t="s">
        <v>1547</v>
      </c>
      <c r="E147" s="111" t="s">
        <v>1589</v>
      </c>
      <c r="F147" s="111"/>
      <c r="G147" s="110" t="s">
        <v>2073</v>
      </c>
      <c r="H147" s="141">
        <v>38.089351999999998</v>
      </c>
      <c r="I147" s="280"/>
      <c r="J147" s="72">
        <v>148.52000000000001</v>
      </c>
      <c r="K147" s="271">
        <f t="shared" si="6"/>
        <v>5657.0305590400003</v>
      </c>
      <c r="L147" s="111"/>
      <c r="M147" s="73"/>
      <c r="N147" s="112"/>
      <c r="O147" s="111"/>
      <c r="P147" s="312">
        <v>0</v>
      </c>
      <c r="Q147" s="288">
        <f t="shared" si="7"/>
        <v>0</v>
      </c>
      <c r="R147" s="118">
        <v>0</v>
      </c>
      <c r="S147" s="283">
        <v>2016</v>
      </c>
      <c r="T147" s="288">
        <f t="shared" si="8"/>
        <v>6130</v>
      </c>
    </row>
    <row r="148" spans="2:20">
      <c r="B148" s="386" t="s">
        <v>253</v>
      </c>
      <c r="C148" s="114"/>
      <c r="D148" s="111" t="s">
        <v>1547</v>
      </c>
      <c r="E148" s="111" t="s">
        <v>1589</v>
      </c>
      <c r="F148" s="111"/>
      <c r="G148" s="110" t="s">
        <v>2073</v>
      </c>
      <c r="H148" s="141">
        <v>97.080534</v>
      </c>
      <c r="I148" s="280"/>
      <c r="J148" s="72">
        <v>148.52000000000001</v>
      </c>
      <c r="K148" s="271">
        <f t="shared" si="6"/>
        <v>14418.400909680002</v>
      </c>
      <c r="L148" s="111"/>
      <c r="M148" s="73"/>
      <c r="N148" s="112"/>
      <c r="O148" s="111"/>
      <c r="P148" s="312">
        <v>0</v>
      </c>
      <c r="Q148" s="288">
        <f t="shared" si="7"/>
        <v>0</v>
      </c>
      <c r="R148" s="118">
        <v>0</v>
      </c>
      <c r="S148" s="283">
        <v>2016</v>
      </c>
      <c r="T148" s="288">
        <f t="shared" si="8"/>
        <v>15624</v>
      </c>
    </row>
    <row r="149" spans="2:20">
      <c r="B149" s="386" t="s">
        <v>254</v>
      </c>
      <c r="C149" s="114"/>
      <c r="D149" s="111" t="s">
        <v>1546</v>
      </c>
      <c r="E149" s="111" t="s">
        <v>1561</v>
      </c>
      <c r="F149" s="111"/>
      <c r="G149" s="110" t="s">
        <v>2073</v>
      </c>
      <c r="H149" s="141">
        <v>303.08934299999999</v>
      </c>
      <c r="I149" s="280"/>
      <c r="J149" s="72">
        <v>148.52000000000001</v>
      </c>
      <c r="K149" s="271">
        <f t="shared" si="6"/>
        <v>45014.82922236</v>
      </c>
      <c r="L149" s="111"/>
      <c r="M149" s="73"/>
      <c r="N149" s="112"/>
      <c r="O149" s="111"/>
      <c r="P149" s="312">
        <v>0</v>
      </c>
      <c r="Q149" s="288">
        <f t="shared" si="7"/>
        <v>0</v>
      </c>
      <c r="R149" s="118">
        <v>0</v>
      </c>
      <c r="S149" s="283">
        <v>2016</v>
      </c>
      <c r="T149" s="288">
        <f t="shared" si="8"/>
        <v>48778</v>
      </c>
    </row>
    <row r="150" spans="2:20">
      <c r="B150" s="386" t="s">
        <v>255</v>
      </c>
      <c r="C150" s="114"/>
      <c r="D150" s="111" t="s">
        <v>1546</v>
      </c>
      <c r="E150" s="111" t="s">
        <v>1590</v>
      </c>
      <c r="F150" s="111"/>
      <c r="G150" s="110" t="s">
        <v>2073</v>
      </c>
      <c r="H150" s="141">
        <v>170.596385</v>
      </c>
      <c r="I150" s="280"/>
      <c r="J150" s="72">
        <v>148.52000000000001</v>
      </c>
      <c r="K150" s="271">
        <f t="shared" si="6"/>
        <v>25336.975100200001</v>
      </c>
      <c r="L150" s="111"/>
      <c r="M150" s="73"/>
      <c r="N150" s="112"/>
      <c r="O150" s="111"/>
      <c r="P150" s="312">
        <v>0</v>
      </c>
      <c r="Q150" s="288">
        <f t="shared" si="7"/>
        <v>0</v>
      </c>
      <c r="R150" s="118">
        <v>0</v>
      </c>
      <c r="S150" s="283">
        <v>2016</v>
      </c>
      <c r="T150" s="288">
        <f t="shared" si="8"/>
        <v>27455</v>
      </c>
    </row>
    <row r="151" spans="2:20">
      <c r="B151" s="386" t="s">
        <v>256</v>
      </c>
      <c r="C151" s="114"/>
      <c r="D151" s="111" t="s">
        <v>1546</v>
      </c>
      <c r="E151" s="111" t="s">
        <v>1591</v>
      </c>
      <c r="F151" s="111"/>
      <c r="G151" s="110" t="s">
        <v>2073</v>
      </c>
      <c r="H151" s="141">
        <v>316.929464</v>
      </c>
      <c r="I151" s="280"/>
      <c r="J151" s="72">
        <v>148.52000000000001</v>
      </c>
      <c r="K151" s="271">
        <f t="shared" si="6"/>
        <v>47070.36399328</v>
      </c>
      <c r="L151" s="111"/>
      <c r="M151" s="73"/>
      <c r="N151" s="112"/>
      <c r="O151" s="111"/>
      <c r="P151" s="312">
        <v>18.2374729</v>
      </c>
      <c r="Q151" s="288">
        <f t="shared" si="7"/>
        <v>15.000000027416078</v>
      </c>
      <c r="R151" s="118">
        <v>273.562094</v>
      </c>
      <c r="S151" s="283">
        <v>2016</v>
      </c>
      <c r="T151" s="288">
        <f t="shared" si="8"/>
        <v>51302</v>
      </c>
    </row>
    <row r="152" spans="2:20">
      <c r="B152" s="386" t="s">
        <v>257</v>
      </c>
      <c r="C152" s="114"/>
      <c r="D152" s="111" t="s">
        <v>1546</v>
      </c>
      <c r="E152" s="111" t="s">
        <v>1591</v>
      </c>
      <c r="F152" s="111"/>
      <c r="G152" s="110" t="s">
        <v>2073</v>
      </c>
      <c r="H152" s="141">
        <v>195.820077</v>
      </c>
      <c r="I152" s="280"/>
      <c r="J152" s="72">
        <v>148.52000000000001</v>
      </c>
      <c r="K152" s="271">
        <f t="shared" si="6"/>
        <v>29083.197836040003</v>
      </c>
      <c r="L152" s="111"/>
      <c r="M152" s="73"/>
      <c r="N152" s="112"/>
      <c r="O152" s="111"/>
      <c r="P152" s="312">
        <v>0</v>
      </c>
      <c r="Q152" s="288">
        <f t="shared" si="7"/>
        <v>0</v>
      </c>
      <c r="R152" s="118">
        <v>0</v>
      </c>
      <c r="S152" s="283">
        <v>2016</v>
      </c>
      <c r="T152" s="288">
        <f t="shared" si="8"/>
        <v>31514</v>
      </c>
    </row>
    <row r="153" spans="2:20">
      <c r="B153" s="386" t="s">
        <v>258</v>
      </c>
      <c r="C153" s="114"/>
      <c r="D153" s="111" t="s">
        <v>1546</v>
      </c>
      <c r="E153" s="111" t="s">
        <v>1591</v>
      </c>
      <c r="F153" s="111"/>
      <c r="G153" s="110" t="s">
        <v>2073</v>
      </c>
      <c r="H153" s="141">
        <v>174.880191</v>
      </c>
      <c r="I153" s="280"/>
      <c r="J153" s="72">
        <v>148.52000000000001</v>
      </c>
      <c r="K153" s="271">
        <f t="shared" si="6"/>
        <v>25973.205967320002</v>
      </c>
      <c r="L153" s="111"/>
      <c r="M153" s="73"/>
      <c r="N153" s="112"/>
      <c r="O153" s="111"/>
      <c r="P153" s="312">
        <v>0</v>
      </c>
      <c r="Q153" s="288">
        <f t="shared" si="7"/>
        <v>0</v>
      </c>
      <c r="R153" s="118">
        <v>0</v>
      </c>
      <c r="S153" s="283">
        <v>2016</v>
      </c>
      <c r="T153" s="288">
        <f t="shared" si="8"/>
        <v>28144</v>
      </c>
    </row>
    <row r="154" spans="2:20">
      <c r="B154" s="386" t="s">
        <v>259</v>
      </c>
      <c r="C154" s="114"/>
      <c r="D154" s="111" t="s">
        <v>1546</v>
      </c>
      <c r="E154" s="111" t="s">
        <v>1591</v>
      </c>
      <c r="F154" s="111"/>
      <c r="G154" s="110" t="s">
        <v>2073</v>
      </c>
      <c r="H154" s="141">
        <v>116.68939</v>
      </c>
      <c r="I154" s="280"/>
      <c r="J154" s="72">
        <v>148.52000000000001</v>
      </c>
      <c r="K154" s="271">
        <f t="shared" si="6"/>
        <v>17330.7082028</v>
      </c>
      <c r="L154" s="111"/>
      <c r="M154" s="73"/>
      <c r="N154" s="112"/>
      <c r="O154" s="111"/>
      <c r="P154" s="312">
        <v>0</v>
      </c>
      <c r="Q154" s="288">
        <f t="shared" si="7"/>
        <v>0</v>
      </c>
      <c r="R154" s="118">
        <v>0</v>
      </c>
      <c r="S154" s="283">
        <v>2016</v>
      </c>
      <c r="T154" s="288">
        <f t="shared" si="8"/>
        <v>18779</v>
      </c>
    </row>
    <row r="155" spans="2:20">
      <c r="B155" s="386" t="s">
        <v>260</v>
      </c>
      <c r="C155" s="114"/>
      <c r="D155" s="111" t="s">
        <v>1546</v>
      </c>
      <c r="E155" s="111" t="s">
        <v>1591</v>
      </c>
      <c r="F155" s="111"/>
      <c r="G155" s="110" t="s">
        <v>2073</v>
      </c>
      <c r="H155" s="141">
        <v>96.231510999999998</v>
      </c>
      <c r="I155" s="280"/>
      <c r="J155" s="72">
        <v>148.52000000000001</v>
      </c>
      <c r="K155" s="271">
        <f t="shared" si="6"/>
        <v>14292.304013720001</v>
      </c>
      <c r="L155" s="111"/>
      <c r="M155" s="73"/>
      <c r="N155" s="112"/>
      <c r="O155" s="111"/>
      <c r="P155" s="312">
        <v>0</v>
      </c>
      <c r="Q155" s="288">
        <f t="shared" si="7"/>
        <v>0</v>
      </c>
      <c r="R155" s="118">
        <v>0</v>
      </c>
      <c r="S155" s="283">
        <v>2016</v>
      </c>
      <c r="T155" s="288">
        <f t="shared" si="8"/>
        <v>15487</v>
      </c>
    </row>
    <row r="156" spans="2:20">
      <c r="B156" s="386" t="s">
        <v>261</v>
      </c>
      <c r="C156" s="114"/>
      <c r="D156" s="111" t="s">
        <v>1546</v>
      </c>
      <c r="E156" s="111" t="s">
        <v>1591</v>
      </c>
      <c r="F156" s="111"/>
      <c r="G156" s="110" t="s">
        <v>2073</v>
      </c>
      <c r="H156" s="141">
        <v>537.45923200000004</v>
      </c>
      <c r="I156" s="280"/>
      <c r="J156" s="72">
        <v>148.52000000000001</v>
      </c>
      <c r="K156" s="271">
        <f t="shared" si="6"/>
        <v>79823.445136640017</v>
      </c>
      <c r="L156" s="111"/>
      <c r="M156" s="73"/>
      <c r="N156" s="112"/>
      <c r="O156" s="111"/>
      <c r="P156" s="312">
        <v>0</v>
      </c>
      <c r="Q156" s="288">
        <f t="shared" si="7"/>
        <v>0</v>
      </c>
      <c r="R156" s="118">
        <v>0</v>
      </c>
      <c r="S156" s="283">
        <v>2016</v>
      </c>
      <c r="T156" s="288">
        <f t="shared" si="8"/>
        <v>86496</v>
      </c>
    </row>
    <row r="157" spans="2:20">
      <c r="B157" s="386" t="s">
        <v>262</v>
      </c>
      <c r="C157" s="114"/>
      <c r="D157" s="111" t="s">
        <v>1546</v>
      </c>
      <c r="E157" s="111" t="s">
        <v>1592</v>
      </c>
      <c r="F157" s="111"/>
      <c r="G157" s="110" t="s">
        <v>2073</v>
      </c>
      <c r="H157" s="141">
        <v>368.35247299999997</v>
      </c>
      <c r="I157" s="280"/>
      <c r="J157" s="72">
        <v>148.52000000000001</v>
      </c>
      <c r="K157" s="271">
        <f t="shared" si="6"/>
        <v>54707.709289960003</v>
      </c>
      <c r="L157" s="111"/>
      <c r="M157" s="73"/>
      <c r="N157" s="112"/>
      <c r="O157" s="111"/>
      <c r="P157" s="312">
        <v>0</v>
      </c>
      <c r="Q157" s="288">
        <f t="shared" si="7"/>
        <v>0</v>
      </c>
      <c r="R157" s="118">
        <v>0</v>
      </c>
      <c r="S157" s="283">
        <v>2016</v>
      </c>
      <c r="T157" s="288">
        <f t="shared" si="8"/>
        <v>59281</v>
      </c>
    </row>
    <row r="158" spans="2:20">
      <c r="B158" s="386" t="s">
        <v>263</v>
      </c>
      <c r="C158" s="114"/>
      <c r="D158" s="111" t="s">
        <v>1546</v>
      </c>
      <c r="E158" s="111" t="s">
        <v>1592</v>
      </c>
      <c r="F158" s="111"/>
      <c r="G158" s="110" t="s">
        <v>2073</v>
      </c>
      <c r="H158" s="141">
        <v>18.430319000000001</v>
      </c>
      <c r="I158" s="280"/>
      <c r="J158" s="72">
        <v>148.52000000000001</v>
      </c>
      <c r="K158" s="271">
        <f t="shared" si="6"/>
        <v>2737.2709778800004</v>
      </c>
      <c r="L158" s="111"/>
      <c r="M158" s="73"/>
      <c r="N158" s="112"/>
      <c r="O158" s="111"/>
      <c r="P158" s="312">
        <v>0</v>
      </c>
      <c r="Q158" s="288">
        <f t="shared" si="7"/>
        <v>0</v>
      </c>
      <c r="R158" s="118">
        <v>0</v>
      </c>
      <c r="S158" s="283">
        <v>2016</v>
      </c>
      <c r="T158" s="288">
        <f t="shared" si="8"/>
        <v>2966</v>
      </c>
    </row>
    <row r="159" spans="2:20">
      <c r="B159" s="386" t="s">
        <v>264</v>
      </c>
      <c r="C159" s="114"/>
      <c r="D159" s="111" t="s">
        <v>1546</v>
      </c>
      <c r="E159" s="111" t="s">
        <v>1593</v>
      </c>
      <c r="F159" s="111"/>
      <c r="G159" s="110" t="s">
        <v>2073</v>
      </c>
      <c r="H159" s="141">
        <v>713.32062599999995</v>
      </c>
      <c r="I159" s="280"/>
      <c r="J159" s="72">
        <v>148.52000000000001</v>
      </c>
      <c r="K159" s="271">
        <f t="shared" si="6"/>
        <v>105942.37937352</v>
      </c>
      <c r="L159" s="111"/>
      <c r="M159" s="73"/>
      <c r="N159" s="112"/>
      <c r="O159" s="111"/>
      <c r="P159" s="312">
        <v>3984.94157</v>
      </c>
      <c r="Q159" s="288">
        <f t="shared" si="7"/>
        <v>14.999999987452766</v>
      </c>
      <c r="R159" s="118">
        <v>59774.123500000002</v>
      </c>
      <c r="S159" s="283">
        <v>2016</v>
      </c>
      <c r="T159" s="288">
        <f t="shared" si="8"/>
        <v>179674</v>
      </c>
    </row>
    <row r="160" spans="2:20">
      <c r="B160" s="386" t="s">
        <v>265</v>
      </c>
      <c r="C160" s="114"/>
      <c r="D160" s="111" t="s">
        <v>1546</v>
      </c>
      <c r="E160" s="111" t="s">
        <v>1593</v>
      </c>
      <c r="F160" s="111"/>
      <c r="G160" s="110" t="s">
        <v>2073</v>
      </c>
      <c r="H160" s="141">
        <v>1524.2529970000001</v>
      </c>
      <c r="I160" s="280"/>
      <c r="J160" s="72">
        <v>148.52000000000001</v>
      </c>
      <c r="K160" s="271">
        <f t="shared" si="6"/>
        <v>226382.05511444001</v>
      </c>
      <c r="L160" s="111"/>
      <c r="M160" s="73"/>
      <c r="N160" s="112"/>
      <c r="O160" s="111"/>
      <c r="P160" s="312">
        <v>0</v>
      </c>
      <c r="Q160" s="288">
        <f t="shared" si="7"/>
        <v>0</v>
      </c>
      <c r="R160" s="118">
        <v>0</v>
      </c>
      <c r="S160" s="283">
        <v>2016</v>
      </c>
      <c r="T160" s="288">
        <f t="shared" si="8"/>
        <v>245305</v>
      </c>
    </row>
    <row r="161" spans="2:20">
      <c r="B161" s="386" t="s">
        <v>266</v>
      </c>
      <c r="C161" s="114"/>
      <c r="D161" s="111" t="s">
        <v>1546</v>
      </c>
      <c r="E161" s="111" t="s">
        <v>1593</v>
      </c>
      <c r="F161" s="111"/>
      <c r="G161" s="110" t="s">
        <v>2073</v>
      </c>
      <c r="H161" s="141">
        <v>28.964241999999999</v>
      </c>
      <c r="I161" s="280"/>
      <c r="J161" s="72">
        <v>148.52000000000001</v>
      </c>
      <c r="K161" s="271">
        <f t="shared" si="6"/>
        <v>4301.7692218399998</v>
      </c>
      <c r="L161" s="111"/>
      <c r="M161" s="73"/>
      <c r="N161" s="112"/>
      <c r="O161" s="111"/>
      <c r="P161" s="312">
        <v>0</v>
      </c>
      <c r="Q161" s="288">
        <f t="shared" si="7"/>
        <v>0</v>
      </c>
      <c r="R161" s="118">
        <v>0</v>
      </c>
      <c r="S161" s="283">
        <v>2016</v>
      </c>
      <c r="T161" s="288">
        <f t="shared" si="8"/>
        <v>4661</v>
      </c>
    </row>
    <row r="162" spans="2:20">
      <c r="B162" s="386" t="s">
        <v>267</v>
      </c>
      <c r="C162" s="114"/>
      <c r="D162" s="111" t="s">
        <v>1547</v>
      </c>
      <c r="E162" s="111" t="s">
        <v>1593</v>
      </c>
      <c r="F162" s="111"/>
      <c r="G162" s="110" t="s">
        <v>2073</v>
      </c>
      <c r="H162" s="141">
        <v>1686.718071</v>
      </c>
      <c r="I162" s="280"/>
      <c r="J162" s="72">
        <v>148.52000000000001</v>
      </c>
      <c r="K162" s="271">
        <f t="shared" si="6"/>
        <v>250511.36790492001</v>
      </c>
      <c r="L162" s="111"/>
      <c r="M162" s="73"/>
      <c r="N162" s="112"/>
      <c r="O162" s="111"/>
      <c r="P162" s="312">
        <v>149.97085899999999</v>
      </c>
      <c r="Q162" s="288">
        <f t="shared" si="7"/>
        <v>15.000000033339813</v>
      </c>
      <c r="R162" s="118">
        <v>2249.5628900000002</v>
      </c>
      <c r="S162" s="283">
        <v>2016</v>
      </c>
      <c r="T162" s="288">
        <f t="shared" si="8"/>
        <v>273893</v>
      </c>
    </row>
    <row r="163" spans="2:20">
      <c r="B163" s="386" t="s">
        <v>268</v>
      </c>
      <c r="C163" s="114"/>
      <c r="D163" s="111" t="s">
        <v>1546</v>
      </c>
      <c r="E163" s="111" t="s">
        <v>1594</v>
      </c>
      <c r="F163" s="111"/>
      <c r="G163" s="110" t="s">
        <v>2073</v>
      </c>
      <c r="H163" s="141">
        <v>53.171695</v>
      </c>
      <c r="I163" s="280"/>
      <c r="J163" s="72">
        <v>148.52000000000001</v>
      </c>
      <c r="K163" s="271">
        <f t="shared" si="6"/>
        <v>7897.0601414000002</v>
      </c>
      <c r="L163" s="111"/>
      <c r="M163" s="73"/>
      <c r="N163" s="112"/>
      <c r="O163" s="111"/>
      <c r="P163" s="312">
        <v>0</v>
      </c>
      <c r="Q163" s="288">
        <f t="shared" si="7"/>
        <v>0</v>
      </c>
      <c r="R163" s="118">
        <v>0</v>
      </c>
      <c r="S163" s="283">
        <v>2016</v>
      </c>
      <c r="T163" s="288">
        <f t="shared" si="8"/>
        <v>8557</v>
      </c>
    </row>
    <row r="164" spans="2:20">
      <c r="B164" s="386" t="s">
        <v>269</v>
      </c>
      <c r="C164" s="114"/>
      <c r="D164" s="111" t="s">
        <v>1546</v>
      </c>
      <c r="E164" s="111" t="s">
        <v>1594</v>
      </c>
      <c r="F164" s="111"/>
      <c r="G164" s="110" t="s">
        <v>2073</v>
      </c>
      <c r="H164" s="141">
        <v>24.340056000000001</v>
      </c>
      <c r="I164" s="280"/>
      <c r="J164" s="72">
        <v>148.52000000000001</v>
      </c>
      <c r="K164" s="271">
        <f t="shared" si="6"/>
        <v>3614.9851171200003</v>
      </c>
      <c r="L164" s="111"/>
      <c r="M164" s="73"/>
      <c r="N164" s="112"/>
      <c r="O164" s="111"/>
      <c r="P164" s="312">
        <v>0</v>
      </c>
      <c r="Q164" s="288">
        <f t="shared" si="7"/>
        <v>0</v>
      </c>
      <c r="R164" s="118">
        <v>0</v>
      </c>
      <c r="S164" s="283">
        <v>2016</v>
      </c>
      <c r="T164" s="288">
        <f t="shared" si="8"/>
        <v>3917</v>
      </c>
    </row>
    <row r="165" spans="2:20">
      <c r="B165" s="386" t="s">
        <v>270</v>
      </c>
      <c r="C165" s="114"/>
      <c r="D165" s="111" t="s">
        <v>1546</v>
      </c>
      <c r="E165" s="111" t="s">
        <v>1594</v>
      </c>
      <c r="F165" s="111"/>
      <c r="G165" s="110" t="s">
        <v>2073</v>
      </c>
      <c r="H165" s="141">
        <v>30.428076999999998</v>
      </c>
      <c r="I165" s="280"/>
      <c r="J165" s="72">
        <v>148.52000000000001</v>
      </c>
      <c r="K165" s="271">
        <f t="shared" si="6"/>
        <v>4519.1779960399999</v>
      </c>
      <c r="L165" s="111"/>
      <c r="M165" s="73"/>
      <c r="N165" s="112"/>
      <c r="O165" s="111"/>
      <c r="P165" s="312">
        <v>0</v>
      </c>
      <c r="Q165" s="288">
        <f t="shared" si="7"/>
        <v>0</v>
      </c>
      <c r="R165" s="118">
        <v>0</v>
      </c>
      <c r="S165" s="283">
        <v>2016</v>
      </c>
      <c r="T165" s="288">
        <f t="shared" si="8"/>
        <v>4897</v>
      </c>
    </row>
    <row r="166" spans="2:20">
      <c r="B166" s="386" t="s">
        <v>271</v>
      </c>
      <c r="C166" s="114"/>
      <c r="D166" s="111" t="s">
        <v>1546</v>
      </c>
      <c r="E166" s="111" t="s">
        <v>1594</v>
      </c>
      <c r="F166" s="111"/>
      <c r="G166" s="110" t="s">
        <v>2073</v>
      </c>
      <c r="H166" s="141">
        <v>65.772409999999994</v>
      </c>
      <c r="I166" s="280"/>
      <c r="J166" s="72">
        <v>148.52000000000001</v>
      </c>
      <c r="K166" s="271">
        <f t="shared" si="6"/>
        <v>9768.5183331999997</v>
      </c>
      <c r="L166" s="111"/>
      <c r="M166" s="73"/>
      <c r="N166" s="112"/>
      <c r="O166" s="111"/>
      <c r="P166" s="312">
        <v>0</v>
      </c>
      <c r="Q166" s="288">
        <f t="shared" si="7"/>
        <v>0</v>
      </c>
      <c r="R166" s="118">
        <v>0</v>
      </c>
      <c r="S166" s="283">
        <v>2016</v>
      </c>
      <c r="T166" s="288">
        <f t="shared" si="8"/>
        <v>10585</v>
      </c>
    </row>
    <row r="167" spans="2:20">
      <c r="B167" s="386" t="s">
        <v>272</v>
      </c>
      <c r="C167" s="114"/>
      <c r="D167" s="111" t="s">
        <v>1546</v>
      </c>
      <c r="E167" s="111" t="s">
        <v>1594</v>
      </c>
      <c r="F167" s="111"/>
      <c r="G167" s="110" t="s">
        <v>2073</v>
      </c>
      <c r="H167" s="141">
        <v>38.538243000000001</v>
      </c>
      <c r="I167" s="280"/>
      <c r="J167" s="72">
        <v>148.52000000000001</v>
      </c>
      <c r="K167" s="271">
        <f t="shared" si="6"/>
        <v>5723.6998503600007</v>
      </c>
      <c r="L167" s="111"/>
      <c r="M167" s="73"/>
      <c r="N167" s="112"/>
      <c r="O167" s="111"/>
      <c r="P167" s="312">
        <v>0</v>
      </c>
      <c r="Q167" s="288">
        <f t="shared" si="7"/>
        <v>0</v>
      </c>
      <c r="R167" s="118">
        <v>0</v>
      </c>
      <c r="S167" s="283">
        <v>2016</v>
      </c>
      <c r="T167" s="288">
        <f t="shared" si="8"/>
        <v>6202</v>
      </c>
    </row>
    <row r="168" spans="2:20">
      <c r="B168" s="386" t="s">
        <v>273</v>
      </c>
      <c r="C168" s="114"/>
      <c r="D168" s="111" t="s">
        <v>1546</v>
      </c>
      <c r="E168" s="111" t="s">
        <v>1595</v>
      </c>
      <c r="F168" s="111"/>
      <c r="G168" s="110" t="s">
        <v>2073</v>
      </c>
      <c r="H168" s="141">
        <v>1037.516666</v>
      </c>
      <c r="I168" s="280"/>
      <c r="J168" s="72">
        <v>148.52000000000001</v>
      </c>
      <c r="K168" s="271">
        <f t="shared" si="6"/>
        <v>154091.97523432001</v>
      </c>
      <c r="L168" s="111"/>
      <c r="M168" s="73"/>
      <c r="N168" s="112"/>
      <c r="O168" s="111"/>
      <c r="P168" s="312">
        <v>0</v>
      </c>
      <c r="Q168" s="288">
        <f t="shared" si="7"/>
        <v>0</v>
      </c>
      <c r="R168" s="118">
        <v>0</v>
      </c>
      <c r="S168" s="283">
        <v>2016</v>
      </c>
      <c r="T168" s="288">
        <f t="shared" si="8"/>
        <v>166972</v>
      </c>
    </row>
    <row r="169" spans="2:20">
      <c r="B169" s="386" t="s">
        <v>274</v>
      </c>
      <c r="C169" s="114"/>
      <c r="D169" s="111" t="s">
        <v>1546</v>
      </c>
      <c r="E169" s="111" t="s">
        <v>1595</v>
      </c>
      <c r="F169" s="111"/>
      <c r="G169" s="110" t="s">
        <v>2073</v>
      </c>
      <c r="H169" s="141">
        <v>52.435208000000003</v>
      </c>
      <c r="I169" s="280"/>
      <c r="J169" s="72">
        <v>148.52000000000001</v>
      </c>
      <c r="K169" s="271">
        <f t="shared" si="6"/>
        <v>7787.6770921600009</v>
      </c>
      <c r="L169" s="111"/>
      <c r="M169" s="73"/>
      <c r="N169" s="112"/>
      <c r="O169" s="111"/>
      <c r="P169" s="312">
        <v>0</v>
      </c>
      <c r="Q169" s="288">
        <f t="shared" si="7"/>
        <v>0</v>
      </c>
      <c r="R169" s="118">
        <v>0</v>
      </c>
      <c r="S169" s="283">
        <v>2016</v>
      </c>
      <c r="T169" s="288">
        <f t="shared" si="8"/>
        <v>8439</v>
      </c>
    </row>
    <row r="170" spans="2:20">
      <c r="B170" s="386" t="s">
        <v>275</v>
      </c>
      <c r="C170" s="114"/>
      <c r="D170" s="111" t="s">
        <v>1546</v>
      </c>
      <c r="E170" s="111" t="s">
        <v>1595</v>
      </c>
      <c r="F170" s="111"/>
      <c r="G170" s="110" t="s">
        <v>2073</v>
      </c>
      <c r="H170" s="141">
        <v>123.167655</v>
      </c>
      <c r="I170" s="280"/>
      <c r="J170" s="72">
        <v>148.52000000000001</v>
      </c>
      <c r="K170" s="271">
        <f t="shared" si="6"/>
        <v>18292.860120600002</v>
      </c>
      <c r="L170" s="111"/>
      <c r="M170" s="73"/>
      <c r="N170" s="112"/>
      <c r="O170" s="111"/>
      <c r="P170" s="312">
        <v>0</v>
      </c>
      <c r="Q170" s="288">
        <f t="shared" si="7"/>
        <v>0</v>
      </c>
      <c r="R170" s="118">
        <v>0</v>
      </c>
      <c r="S170" s="283">
        <v>2016</v>
      </c>
      <c r="T170" s="288">
        <f t="shared" si="8"/>
        <v>19822</v>
      </c>
    </row>
    <row r="171" spans="2:20">
      <c r="B171" s="386" t="s">
        <v>276</v>
      </c>
      <c r="C171" s="114"/>
      <c r="D171" s="111" t="s">
        <v>1546</v>
      </c>
      <c r="E171" s="111" t="s">
        <v>1595</v>
      </c>
      <c r="F171" s="111"/>
      <c r="G171" s="110" t="s">
        <v>2073</v>
      </c>
      <c r="H171" s="141">
        <v>104.457897</v>
      </c>
      <c r="I171" s="280"/>
      <c r="J171" s="72">
        <v>148.52000000000001</v>
      </c>
      <c r="K171" s="271">
        <f t="shared" si="6"/>
        <v>15514.086862440001</v>
      </c>
      <c r="L171" s="111"/>
      <c r="M171" s="73"/>
      <c r="N171" s="112"/>
      <c r="O171" s="111"/>
      <c r="P171" s="312">
        <v>0</v>
      </c>
      <c r="Q171" s="288">
        <f t="shared" si="7"/>
        <v>0</v>
      </c>
      <c r="R171" s="118">
        <v>0</v>
      </c>
      <c r="S171" s="283">
        <v>2016</v>
      </c>
      <c r="T171" s="288">
        <f t="shared" si="8"/>
        <v>16811</v>
      </c>
    </row>
    <row r="172" spans="2:20">
      <c r="B172" s="386" t="s">
        <v>277</v>
      </c>
      <c r="C172" s="114"/>
      <c r="D172" s="111" t="s">
        <v>1546</v>
      </c>
      <c r="E172" s="111" t="s">
        <v>1595</v>
      </c>
      <c r="F172" s="111"/>
      <c r="G172" s="110" t="s">
        <v>2073</v>
      </c>
      <c r="H172" s="141">
        <v>51.295758999999997</v>
      </c>
      <c r="I172" s="280"/>
      <c r="J172" s="72">
        <v>148.52000000000001</v>
      </c>
      <c r="K172" s="271">
        <f t="shared" si="6"/>
        <v>7618.4461266799999</v>
      </c>
      <c r="L172" s="111"/>
      <c r="M172" s="73"/>
      <c r="N172" s="112"/>
      <c r="O172" s="111"/>
      <c r="P172" s="312">
        <v>0</v>
      </c>
      <c r="Q172" s="288">
        <f t="shared" si="7"/>
        <v>0</v>
      </c>
      <c r="R172" s="118">
        <v>0</v>
      </c>
      <c r="S172" s="283">
        <v>2016</v>
      </c>
      <c r="T172" s="288">
        <f t="shared" si="8"/>
        <v>8255</v>
      </c>
    </row>
    <row r="173" spans="2:20">
      <c r="B173" s="386" t="s">
        <v>278</v>
      </c>
      <c r="C173" s="114"/>
      <c r="D173" s="111" t="s">
        <v>1546</v>
      </c>
      <c r="E173" s="111" t="s">
        <v>1595</v>
      </c>
      <c r="F173" s="111"/>
      <c r="G173" s="110" t="s">
        <v>2073</v>
      </c>
      <c r="H173" s="141">
        <v>22.705838</v>
      </c>
      <c r="I173" s="280"/>
      <c r="J173" s="72">
        <v>148.52000000000001</v>
      </c>
      <c r="K173" s="271">
        <f t="shared" si="6"/>
        <v>3372.2710597600003</v>
      </c>
      <c r="L173" s="111"/>
      <c r="M173" s="73"/>
      <c r="N173" s="112"/>
      <c r="O173" s="111"/>
      <c r="P173" s="312">
        <v>0</v>
      </c>
      <c r="Q173" s="288">
        <f t="shared" si="7"/>
        <v>0</v>
      </c>
      <c r="R173" s="118">
        <v>0</v>
      </c>
      <c r="S173" s="283">
        <v>2016</v>
      </c>
      <c r="T173" s="288">
        <f t="shared" si="8"/>
        <v>3654</v>
      </c>
    </row>
    <row r="174" spans="2:20">
      <c r="B174" s="386" t="s">
        <v>279</v>
      </c>
      <c r="C174" s="114"/>
      <c r="D174" s="111" t="s">
        <v>1546</v>
      </c>
      <c r="E174" s="111" t="s">
        <v>1595</v>
      </c>
      <c r="F174" s="111"/>
      <c r="G174" s="110" t="s">
        <v>2073</v>
      </c>
      <c r="H174" s="141">
        <v>49.976759000000001</v>
      </c>
      <c r="I174" s="280"/>
      <c r="J174" s="72">
        <v>148.52000000000001</v>
      </c>
      <c r="K174" s="271">
        <f t="shared" si="6"/>
        <v>7422.5482466800004</v>
      </c>
      <c r="L174" s="111"/>
      <c r="M174" s="73"/>
      <c r="N174" s="112"/>
      <c r="O174" s="111"/>
      <c r="P174" s="312">
        <v>0</v>
      </c>
      <c r="Q174" s="288">
        <f t="shared" si="7"/>
        <v>0</v>
      </c>
      <c r="R174" s="118">
        <v>0</v>
      </c>
      <c r="S174" s="283">
        <v>2016</v>
      </c>
      <c r="T174" s="288">
        <f t="shared" si="8"/>
        <v>8043</v>
      </c>
    </row>
    <row r="175" spans="2:20">
      <c r="B175" s="386" t="s">
        <v>280</v>
      </c>
      <c r="C175" s="114"/>
      <c r="D175" s="111" t="s">
        <v>1546</v>
      </c>
      <c r="E175" s="111" t="s">
        <v>1595</v>
      </c>
      <c r="F175" s="111"/>
      <c r="G175" s="110" t="s">
        <v>2073</v>
      </c>
      <c r="H175" s="141">
        <v>31.490473999999999</v>
      </c>
      <c r="I175" s="280"/>
      <c r="J175" s="72">
        <v>148.52000000000001</v>
      </c>
      <c r="K175" s="271">
        <f t="shared" si="6"/>
        <v>4676.9651984800003</v>
      </c>
      <c r="L175" s="111"/>
      <c r="M175" s="73"/>
      <c r="N175" s="112"/>
      <c r="O175" s="111"/>
      <c r="P175" s="312">
        <v>0</v>
      </c>
      <c r="Q175" s="288">
        <f t="shared" si="7"/>
        <v>0</v>
      </c>
      <c r="R175" s="118">
        <v>0</v>
      </c>
      <c r="S175" s="283">
        <v>2016</v>
      </c>
      <c r="T175" s="288">
        <f t="shared" si="8"/>
        <v>5068</v>
      </c>
    </row>
    <row r="176" spans="2:20">
      <c r="B176" s="386" t="s">
        <v>281</v>
      </c>
      <c r="C176" s="114"/>
      <c r="D176" s="111" t="s">
        <v>1546</v>
      </c>
      <c r="E176" s="111" t="s">
        <v>1595</v>
      </c>
      <c r="F176" s="111"/>
      <c r="G176" s="110" t="s">
        <v>2073</v>
      </c>
      <c r="H176" s="141">
        <v>117.60380499999999</v>
      </c>
      <c r="I176" s="280"/>
      <c r="J176" s="72">
        <v>148.52000000000001</v>
      </c>
      <c r="K176" s="271">
        <f t="shared" si="6"/>
        <v>17466.517118600001</v>
      </c>
      <c r="L176" s="111"/>
      <c r="M176" s="73"/>
      <c r="N176" s="112"/>
      <c r="O176" s="111"/>
      <c r="P176" s="312">
        <v>0</v>
      </c>
      <c r="Q176" s="288">
        <f t="shared" si="7"/>
        <v>0</v>
      </c>
      <c r="R176" s="118">
        <v>0</v>
      </c>
      <c r="S176" s="283">
        <v>2016</v>
      </c>
      <c r="T176" s="288">
        <f t="shared" si="8"/>
        <v>18927</v>
      </c>
    </row>
    <row r="177" spans="2:20">
      <c r="B177" s="386" t="s">
        <v>282</v>
      </c>
      <c r="C177" s="114"/>
      <c r="D177" s="111" t="s">
        <v>1546</v>
      </c>
      <c r="E177" s="111" t="s">
        <v>1595</v>
      </c>
      <c r="F177" s="111"/>
      <c r="G177" s="110" t="s">
        <v>2073</v>
      </c>
      <c r="H177" s="141">
        <v>63.997697000000002</v>
      </c>
      <c r="I177" s="280"/>
      <c r="J177" s="72">
        <v>148.52000000000001</v>
      </c>
      <c r="K177" s="271">
        <f t="shared" si="6"/>
        <v>9504.9379584400012</v>
      </c>
      <c r="L177" s="111"/>
      <c r="M177" s="73"/>
      <c r="N177" s="112"/>
      <c r="O177" s="111"/>
      <c r="P177" s="312">
        <v>0</v>
      </c>
      <c r="Q177" s="288">
        <f t="shared" si="7"/>
        <v>0</v>
      </c>
      <c r="R177" s="118">
        <v>0</v>
      </c>
      <c r="S177" s="283">
        <v>2016</v>
      </c>
      <c r="T177" s="288">
        <f t="shared" si="8"/>
        <v>10299</v>
      </c>
    </row>
    <row r="178" spans="2:20">
      <c r="B178" s="386" t="s">
        <v>283</v>
      </c>
      <c r="C178" s="114"/>
      <c r="D178" s="111" t="s">
        <v>1546</v>
      </c>
      <c r="E178" s="111" t="s">
        <v>1595</v>
      </c>
      <c r="F178" s="111"/>
      <c r="G178" s="110" t="s">
        <v>2073</v>
      </c>
      <c r="H178" s="141">
        <v>133.05256600000001</v>
      </c>
      <c r="I178" s="280"/>
      <c r="J178" s="72">
        <v>148.52000000000001</v>
      </c>
      <c r="K178" s="271">
        <f t="shared" si="6"/>
        <v>19760.967102320003</v>
      </c>
      <c r="L178" s="111"/>
      <c r="M178" s="73"/>
      <c r="N178" s="112"/>
      <c r="O178" s="111"/>
      <c r="P178" s="312">
        <v>0</v>
      </c>
      <c r="Q178" s="288">
        <f t="shared" si="7"/>
        <v>0</v>
      </c>
      <c r="R178" s="118">
        <v>0</v>
      </c>
      <c r="S178" s="283">
        <v>2016</v>
      </c>
      <c r="T178" s="288">
        <f t="shared" si="8"/>
        <v>21413</v>
      </c>
    </row>
    <row r="179" spans="2:20">
      <c r="B179" s="386" t="s">
        <v>284</v>
      </c>
      <c r="C179" s="114"/>
      <c r="D179" s="111" t="s">
        <v>1546</v>
      </c>
      <c r="E179" s="111" t="s">
        <v>1595</v>
      </c>
      <c r="F179" s="111"/>
      <c r="G179" s="110" t="s">
        <v>2073</v>
      </c>
      <c r="H179" s="141">
        <v>55.253211</v>
      </c>
      <c r="I179" s="280"/>
      <c r="J179" s="72">
        <v>148.52000000000001</v>
      </c>
      <c r="K179" s="271">
        <f t="shared" si="6"/>
        <v>8206.2068977200015</v>
      </c>
      <c r="L179" s="111"/>
      <c r="M179" s="73"/>
      <c r="N179" s="112"/>
      <c r="O179" s="111"/>
      <c r="P179" s="312">
        <v>0</v>
      </c>
      <c r="Q179" s="288">
        <f t="shared" si="7"/>
        <v>0</v>
      </c>
      <c r="R179" s="118">
        <v>0</v>
      </c>
      <c r="S179" s="283">
        <v>2016</v>
      </c>
      <c r="T179" s="288">
        <f t="shared" si="8"/>
        <v>8892</v>
      </c>
    </row>
    <row r="180" spans="2:20">
      <c r="B180" s="386" t="s">
        <v>285</v>
      </c>
      <c r="C180" s="114"/>
      <c r="D180" s="111" t="s">
        <v>1546</v>
      </c>
      <c r="E180" s="111" t="s">
        <v>1595</v>
      </c>
      <c r="F180" s="111"/>
      <c r="G180" s="110" t="s">
        <v>2073</v>
      </c>
      <c r="H180" s="141">
        <v>33.867519000000001</v>
      </c>
      <c r="I180" s="280"/>
      <c r="J180" s="72">
        <v>148.52000000000001</v>
      </c>
      <c r="K180" s="271">
        <f t="shared" si="6"/>
        <v>5030.0039218800002</v>
      </c>
      <c r="L180" s="111"/>
      <c r="M180" s="73"/>
      <c r="N180" s="112"/>
      <c r="O180" s="111"/>
      <c r="P180" s="312">
        <v>0</v>
      </c>
      <c r="Q180" s="288">
        <f t="shared" si="7"/>
        <v>0</v>
      </c>
      <c r="R180" s="118">
        <v>0</v>
      </c>
      <c r="S180" s="283">
        <v>2016</v>
      </c>
      <c r="T180" s="288">
        <f t="shared" si="8"/>
        <v>5450</v>
      </c>
    </row>
    <row r="181" spans="2:20">
      <c r="B181" s="386" t="s">
        <v>286</v>
      </c>
      <c r="C181" s="114"/>
      <c r="D181" s="111" t="s">
        <v>1546</v>
      </c>
      <c r="E181" s="111" t="s">
        <v>1596</v>
      </c>
      <c r="F181" s="111"/>
      <c r="G181" s="110" t="s">
        <v>2073</v>
      </c>
      <c r="H181" s="141">
        <v>34.861713999999999</v>
      </c>
      <c r="I181" s="280"/>
      <c r="J181" s="72">
        <v>148.52000000000001</v>
      </c>
      <c r="K181" s="271">
        <f t="shared" si="6"/>
        <v>5177.6617632799998</v>
      </c>
      <c r="L181" s="111"/>
      <c r="M181" s="73"/>
      <c r="N181" s="112"/>
      <c r="O181" s="111"/>
      <c r="P181" s="312">
        <v>0</v>
      </c>
      <c r="Q181" s="288">
        <f t="shared" si="7"/>
        <v>0</v>
      </c>
      <c r="R181" s="118">
        <v>0</v>
      </c>
      <c r="S181" s="283">
        <v>2016</v>
      </c>
      <c r="T181" s="288">
        <f t="shared" si="8"/>
        <v>5610</v>
      </c>
    </row>
    <row r="182" spans="2:20">
      <c r="B182" s="386" t="s">
        <v>287</v>
      </c>
      <c r="C182" s="114"/>
      <c r="D182" s="111" t="s">
        <v>1546</v>
      </c>
      <c r="E182" s="111" t="s">
        <v>1597</v>
      </c>
      <c r="F182" s="111"/>
      <c r="G182" s="110" t="s">
        <v>2073</v>
      </c>
      <c r="H182" s="141">
        <v>797.012247</v>
      </c>
      <c r="I182" s="280"/>
      <c r="J182" s="72">
        <v>148.52000000000001</v>
      </c>
      <c r="K182" s="271">
        <f t="shared" si="6"/>
        <v>118372.25892444002</v>
      </c>
      <c r="L182" s="111"/>
      <c r="M182" s="73"/>
      <c r="N182" s="112"/>
      <c r="O182" s="111"/>
      <c r="P182" s="312">
        <v>0</v>
      </c>
      <c r="Q182" s="288">
        <f t="shared" si="7"/>
        <v>0</v>
      </c>
      <c r="R182" s="118">
        <v>0</v>
      </c>
      <c r="S182" s="283">
        <v>2016</v>
      </c>
      <c r="T182" s="288">
        <f t="shared" si="8"/>
        <v>128267</v>
      </c>
    </row>
    <row r="183" spans="2:20">
      <c r="B183" s="386" t="s">
        <v>288</v>
      </c>
      <c r="C183" s="114"/>
      <c r="D183" s="111" t="s">
        <v>1547</v>
      </c>
      <c r="E183" s="111" t="s">
        <v>1597</v>
      </c>
      <c r="F183" s="111"/>
      <c r="G183" s="110" t="s">
        <v>2073</v>
      </c>
      <c r="H183" s="141">
        <v>87.403661999999997</v>
      </c>
      <c r="I183" s="280"/>
      <c r="J183" s="72">
        <v>148.52000000000001</v>
      </c>
      <c r="K183" s="271">
        <f t="shared" si="6"/>
        <v>12981.19188024</v>
      </c>
      <c r="L183" s="111"/>
      <c r="M183" s="73"/>
      <c r="N183" s="112"/>
      <c r="O183" s="111"/>
      <c r="P183" s="312">
        <v>0</v>
      </c>
      <c r="Q183" s="288">
        <f t="shared" si="7"/>
        <v>0</v>
      </c>
      <c r="R183" s="118">
        <v>0</v>
      </c>
      <c r="S183" s="283">
        <v>2016</v>
      </c>
      <c r="T183" s="288">
        <f t="shared" si="8"/>
        <v>14066</v>
      </c>
    </row>
    <row r="184" spans="2:20">
      <c r="B184" s="386" t="s">
        <v>289</v>
      </c>
      <c r="C184" s="114"/>
      <c r="D184" s="111" t="s">
        <v>1547</v>
      </c>
      <c r="E184" s="111" t="s">
        <v>1597</v>
      </c>
      <c r="F184" s="111"/>
      <c r="G184" s="110" t="s">
        <v>2073</v>
      </c>
      <c r="H184" s="141">
        <v>69.044996999999995</v>
      </c>
      <c r="I184" s="280"/>
      <c r="J184" s="72">
        <v>148.52000000000001</v>
      </c>
      <c r="K184" s="271">
        <f t="shared" si="6"/>
        <v>10254.56295444</v>
      </c>
      <c r="L184" s="111"/>
      <c r="M184" s="73"/>
      <c r="N184" s="112"/>
      <c r="O184" s="111"/>
      <c r="P184" s="312">
        <v>0</v>
      </c>
      <c r="Q184" s="288">
        <f t="shared" si="7"/>
        <v>0</v>
      </c>
      <c r="R184" s="118">
        <v>0</v>
      </c>
      <c r="S184" s="283">
        <v>2016</v>
      </c>
      <c r="T184" s="288">
        <f t="shared" si="8"/>
        <v>11112</v>
      </c>
    </row>
    <row r="185" spans="2:20">
      <c r="B185" s="386" t="s">
        <v>290</v>
      </c>
      <c r="C185" s="114"/>
      <c r="D185" s="111" t="s">
        <v>1547</v>
      </c>
      <c r="E185" s="111" t="s">
        <v>1597</v>
      </c>
      <c r="F185" s="111"/>
      <c r="G185" s="110" t="s">
        <v>2073</v>
      </c>
      <c r="H185" s="141">
        <v>161.14324300000001</v>
      </c>
      <c r="I185" s="280"/>
      <c r="J185" s="72">
        <v>148.52000000000001</v>
      </c>
      <c r="K185" s="271">
        <f t="shared" si="6"/>
        <v>23932.994450360002</v>
      </c>
      <c r="L185" s="111"/>
      <c r="M185" s="73"/>
      <c r="N185" s="112"/>
      <c r="O185" s="111"/>
      <c r="P185" s="312">
        <v>0</v>
      </c>
      <c r="Q185" s="288">
        <f t="shared" si="7"/>
        <v>0</v>
      </c>
      <c r="R185" s="118">
        <v>0</v>
      </c>
      <c r="S185" s="283">
        <v>2016</v>
      </c>
      <c r="T185" s="288">
        <f t="shared" si="8"/>
        <v>25934</v>
      </c>
    </row>
    <row r="186" spans="2:20">
      <c r="B186" s="386" t="s">
        <v>291</v>
      </c>
      <c r="C186" s="114"/>
      <c r="D186" s="111" t="s">
        <v>1546</v>
      </c>
      <c r="E186" s="111" t="s">
        <v>1598</v>
      </c>
      <c r="F186" s="111"/>
      <c r="G186" s="110" t="s">
        <v>2073</v>
      </c>
      <c r="H186" s="141">
        <v>53.948787000000003</v>
      </c>
      <c r="I186" s="280"/>
      <c r="J186" s="72">
        <v>148.52000000000001</v>
      </c>
      <c r="K186" s="271">
        <f t="shared" si="6"/>
        <v>8012.4738452400006</v>
      </c>
      <c r="L186" s="111"/>
      <c r="M186" s="73"/>
      <c r="N186" s="112"/>
      <c r="O186" s="111"/>
      <c r="P186" s="312">
        <v>8.9429617300000004</v>
      </c>
      <c r="Q186" s="288">
        <f t="shared" si="7"/>
        <v>148.00000044280631</v>
      </c>
      <c r="R186" s="118">
        <v>1323.55834</v>
      </c>
      <c r="S186" s="283">
        <v>2016</v>
      </c>
      <c r="T186" s="288">
        <f t="shared" si="8"/>
        <v>10119</v>
      </c>
    </row>
    <row r="187" spans="2:20">
      <c r="B187" s="386" t="s">
        <v>292</v>
      </c>
      <c r="C187" s="114"/>
      <c r="D187" s="111" t="s">
        <v>1547</v>
      </c>
      <c r="E187" s="111" t="s">
        <v>1599</v>
      </c>
      <c r="F187" s="111"/>
      <c r="G187" s="110" t="s">
        <v>2073</v>
      </c>
      <c r="H187" s="141">
        <v>387.92379499999998</v>
      </c>
      <c r="I187" s="280"/>
      <c r="J187" s="72">
        <v>148.52000000000001</v>
      </c>
      <c r="K187" s="271">
        <f t="shared" si="6"/>
        <v>57614.442033400002</v>
      </c>
      <c r="L187" s="111"/>
      <c r="M187" s="73"/>
      <c r="N187" s="112"/>
      <c r="O187" s="111"/>
      <c r="P187" s="312">
        <v>0</v>
      </c>
      <c r="Q187" s="288">
        <f t="shared" si="7"/>
        <v>0</v>
      </c>
      <c r="R187" s="118">
        <v>0</v>
      </c>
      <c r="S187" s="283">
        <v>2016</v>
      </c>
      <c r="T187" s="288">
        <f t="shared" si="8"/>
        <v>62430</v>
      </c>
    </row>
    <row r="188" spans="2:20">
      <c r="B188" s="386" t="s">
        <v>293</v>
      </c>
      <c r="C188" s="114"/>
      <c r="D188" s="111" t="s">
        <v>1547</v>
      </c>
      <c r="E188" s="111" t="s">
        <v>1599</v>
      </c>
      <c r="F188" s="111"/>
      <c r="G188" s="110" t="s">
        <v>2073</v>
      </c>
      <c r="H188" s="141">
        <v>456.60445499999997</v>
      </c>
      <c r="I188" s="280"/>
      <c r="J188" s="72">
        <v>148.52000000000001</v>
      </c>
      <c r="K188" s="271">
        <f t="shared" si="6"/>
        <v>67814.893656600005</v>
      </c>
      <c r="L188" s="111"/>
      <c r="M188" s="73"/>
      <c r="N188" s="112"/>
      <c r="O188" s="111"/>
      <c r="P188" s="312">
        <v>0</v>
      </c>
      <c r="Q188" s="288">
        <f t="shared" si="7"/>
        <v>0</v>
      </c>
      <c r="R188" s="118">
        <v>0</v>
      </c>
      <c r="S188" s="283">
        <v>2016</v>
      </c>
      <c r="T188" s="288">
        <f t="shared" si="8"/>
        <v>73484</v>
      </c>
    </row>
    <row r="189" spans="2:20">
      <c r="B189" s="386" t="s">
        <v>294</v>
      </c>
      <c r="C189" s="114"/>
      <c r="D189" s="111" t="s">
        <v>1546</v>
      </c>
      <c r="E189" s="111" t="s">
        <v>1600</v>
      </c>
      <c r="F189" s="111"/>
      <c r="G189" s="110" t="s">
        <v>2073</v>
      </c>
      <c r="H189" s="141">
        <v>2299.8417869999998</v>
      </c>
      <c r="I189" s="280"/>
      <c r="J189" s="72">
        <v>148.52000000000001</v>
      </c>
      <c r="K189" s="271">
        <f t="shared" si="6"/>
        <v>341572.50220524002</v>
      </c>
      <c r="L189" s="111"/>
      <c r="M189" s="73"/>
      <c r="N189" s="112"/>
      <c r="O189" s="111"/>
      <c r="P189" s="312">
        <v>0</v>
      </c>
      <c r="Q189" s="288">
        <f t="shared" si="7"/>
        <v>0</v>
      </c>
      <c r="R189" s="118">
        <v>0</v>
      </c>
      <c r="S189" s="283">
        <v>2016</v>
      </c>
      <c r="T189" s="288">
        <f t="shared" si="8"/>
        <v>370124</v>
      </c>
    </row>
    <row r="190" spans="2:20">
      <c r="B190" s="386" t="s">
        <v>295</v>
      </c>
      <c r="C190" s="114"/>
      <c r="D190" s="111" t="s">
        <v>1546</v>
      </c>
      <c r="E190" s="111" t="s">
        <v>1601</v>
      </c>
      <c r="F190" s="111"/>
      <c r="G190" s="110" t="s">
        <v>2073</v>
      </c>
      <c r="H190" s="141">
        <v>1329.274506</v>
      </c>
      <c r="I190" s="280"/>
      <c r="J190" s="72">
        <v>148.52000000000001</v>
      </c>
      <c r="K190" s="271">
        <f t="shared" si="6"/>
        <v>197423.84963112001</v>
      </c>
      <c r="L190" s="111"/>
      <c r="M190" s="73"/>
      <c r="N190" s="112"/>
      <c r="O190" s="111"/>
      <c r="P190" s="312">
        <v>0</v>
      </c>
      <c r="Q190" s="288">
        <f t="shared" si="7"/>
        <v>0</v>
      </c>
      <c r="R190" s="118">
        <v>0</v>
      </c>
      <c r="S190" s="283">
        <v>2016</v>
      </c>
      <c r="T190" s="288">
        <f t="shared" si="8"/>
        <v>213926</v>
      </c>
    </row>
    <row r="191" spans="2:20">
      <c r="B191" s="386" t="s">
        <v>296</v>
      </c>
      <c r="C191" s="114"/>
      <c r="D191" s="111" t="s">
        <v>1546</v>
      </c>
      <c r="E191" s="111" t="s">
        <v>1601</v>
      </c>
      <c r="F191" s="111"/>
      <c r="G191" s="110" t="s">
        <v>2073</v>
      </c>
      <c r="H191" s="141">
        <v>368.71824500000002</v>
      </c>
      <c r="I191" s="280"/>
      <c r="J191" s="72">
        <v>148.52000000000001</v>
      </c>
      <c r="K191" s="271">
        <f t="shared" si="6"/>
        <v>54762.033747400004</v>
      </c>
      <c r="L191" s="111"/>
      <c r="M191" s="73"/>
      <c r="N191" s="112"/>
      <c r="O191" s="111"/>
      <c r="P191" s="312">
        <v>0</v>
      </c>
      <c r="Q191" s="288">
        <f t="shared" si="7"/>
        <v>0</v>
      </c>
      <c r="R191" s="118">
        <v>0</v>
      </c>
      <c r="S191" s="283">
        <v>2016</v>
      </c>
      <c r="T191" s="288">
        <f t="shared" si="8"/>
        <v>59340</v>
      </c>
    </row>
    <row r="192" spans="2:20">
      <c r="B192" s="386" t="s">
        <v>297</v>
      </c>
      <c r="C192" s="114"/>
      <c r="D192" s="111" t="s">
        <v>1546</v>
      </c>
      <c r="E192" s="111" t="s">
        <v>1602</v>
      </c>
      <c r="F192" s="111"/>
      <c r="G192" s="110" t="s">
        <v>2073</v>
      </c>
      <c r="H192" s="141">
        <v>443.71498200000002</v>
      </c>
      <c r="I192" s="280"/>
      <c r="J192" s="72">
        <v>148.52000000000001</v>
      </c>
      <c r="K192" s="271">
        <f t="shared" si="6"/>
        <v>65900.549126640006</v>
      </c>
      <c r="L192" s="111"/>
      <c r="M192" s="73"/>
      <c r="N192" s="112"/>
      <c r="O192" s="111"/>
      <c r="P192" s="312">
        <v>0</v>
      </c>
      <c r="Q192" s="288">
        <f t="shared" si="7"/>
        <v>0</v>
      </c>
      <c r="R192" s="118">
        <v>0</v>
      </c>
      <c r="S192" s="283">
        <v>2016</v>
      </c>
      <c r="T192" s="288">
        <f t="shared" si="8"/>
        <v>71409</v>
      </c>
    </row>
    <row r="193" spans="2:20">
      <c r="B193" s="386" t="s">
        <v>298</v>
      </c>
      <c r="C193" s="114"/>
      <c r="D193" s="111" t="s">
        <v>1546</v>
      </c>
      <c r="E193" s="111" t="s">
        <v>1602</v>
      </c>
      <c r="F193" s="111"/>
      <c r="G193" s="110" t="s">
        <v>2073</v>
      </c>
      <c r="H193" s="141">
        <v>1045.9727339999999</v>
      </c>
      <c r="I193" s="280"/>
      <c r="J193" s="72">
        <v>148.52000000000001</v>
      </c>
      <c r="K193" s="271">
        <f t="shared" si="6"/>
        <v>155347.87045367999</v>
      </c>
      <c r="L193" s="111"/>
      <c r="M193" s="73"/>
      <c r="N193" s="112"/>
      <c r="O193" s="111"/>
      <c r="P193" s="312">
        <v>0</v>
      </c>
      <c r="Q193" s="288">
        <f t="shared" si="7"/>
        <v>0</v>
      </c>
      <c r="R193" s="118">
        <v>0</v>
      </c>
      <c r="S193" s="283">
        <v>2016</v>
      </c>
      <c r="T193" s="288">
        <f t="shared" si="8"/>
        <v>168333</v>
      </c>
    </row>
    <row r="194" spans="2:20">
      <c r="B194" s="386" t="s">
        <v>299</v>
      </c>
      <c r="C194" s="114"/>
      <c r="D194" s="111" t="s">
        <v>1547</v>
      </c>
      <c r="E194" s="111" t="s">
        <v>1602</v>
      </c>
      <c r="F194" s="111"/>
      <c r="G194" s="110" t="s">
        <v>2073</v>
      </c>
      <c r="H194" s="141">
        <v>72.517719</v>
      </c>
      <c r="I194" s="280"/>
      <c r="J194" s="72">
        <v>148.52000000000001</v>
      </c>
      <c r="K194" s="271">
        <f t="shared" si="6"/>
        <v>10770.331625880001</v>
      </c>
      <c r="L194" s="111"/>
      <c r="M194" s="73"/>
      <c r="N194" s="112"/>
      <c r="O194" s="111"/>
      <c r="P194" s="312">
        <v>0</v>
      </c>
      <c r="Q194" s="288">
        <f t="shared" si="7"/>
        <v>0</v>
      </c>
      <c r="R194" s="118">
        <v>0</v>
      </c>
      <c r="S194" s="283">
        <v>2016</v>
      </c>
      <c r="T194" s="288">
        <f t="shared" si="8"/>
        <v>11671</v>
      </c>
    </row>
    <row r="195" spans="2:20">
      <c r="B195" s="386" t="s">
        <v>300</v>
      </c>
      <c r="C195" s="114"/>
      <c r="D195" s="111" t="s">
        <v>1546</v>
      </c>
      <c r="E195" s="111" t="s">
        <v>1603</v>
      </c>
      <c r="F195" s="111"/>
      <c r="G195" s="110" t="s">
        <v>2073</v>
      </c>
      <c r="H195" s="141">
        <v>94.635076999999995</v>
      </c>
      <c r="I195" s="280"/>
      <c r="J195" s="72">
        <v>148.52000000000001</v>
      </c>
      <c r="K195" s="271">
        <f t="shared" si="6"/>
        <v>14055.201636040001</v>
      </c>
      <c r="L195" s="111"/>
      <c r="M195" s="73"/>
      <c r="N195" s="112"/>
      <c r="O195" s="111"/>
      <c r="P195" s="312">
        <v>0</v>
      </c>
      <c r="Q195" s="288">
        <f t="shared" si="7"/>
        <v>0</v>
      </c>
      <c r="R195" s="118">
        <v>0</v>
      </c>
      <c r="S195" s="283">
        <v>2016</v>
      </c>
      <c r="T195" s="288">
        <f t="shared" si="8"/>
        <v>15230</v>
      </c>
    </row>
    <row r="196" spans="2:20">
      <c r="B196" s="386" t="s">
        <v>301</v>
      </c>
      <c r="C196" s="114"/>
      <c r="D196" s="111" t="s">
        <v>1546</v>
      </c>
      <c r="E196" s="111" t="s">
        <v>1603</v>
      </c>
      <c r="F196" s="111"/>
      <c r="G196" s="110" t="s">
        <v>2073</v>
      </c>
      <c r="H196" s="141">
        <v>129.73957899999999</v>
      </c>
      <c r="I196" s="280"/>
      <c r="J196" s="72">
        <v>148.52000000000001</v>
      </c>
      <c r="K196" s="271">
        <f t="shared" si="6"/>
        <v>19268.922273079999</v>
      </c>
      <c r="L196" s="111"/>
      <c r="M196" s="73"/>
      <c r="N196" s="112"/>
      <c r="O196" s="111"/>
      <c r="P196" s="312">
        <v>0</v>
      </c>
      <c r="Q196" s="288">
        <f t="shared" si="7"/>
        <v>0</v>
      </c>
      <c r="R196" s="118">
        <v>0</v>
      </c>
      <c r="S196" s="283">
        <v>2016</v>
      </c>
      <c r="T196" s="288">
        <f t="shared" si="8"/>
        <v>20880</v>
      </c>
    </row>
    <row r="197" spans="2:20">
      <c r="B197" s="386" t="s">
        <v>302</v>
      </c>
      <c r="C197" s="114"/>
      <c r="D197" s="111" t="s">
        <v>1547</v>
      </c>
      <c r="E197" s="111" t="s">
        <v>1603</v>
      </c>
      <c r="F197" s="111"/>
      <c r="G197" s="110" t="s">
        <v>2073</v>
      </c>
      <c r="H197" s="141">
        <v>101.555519</v>
      </c>
      <c r="I197" s="280"/>
      <c r="J197" s="72">
        <v>148.52000000000001</v>
      </c>
      <c r="K197" s="271">
        <f t="shared" si="6"/>
        <v>15083.025681880001</v>
      </c>
      <c r="L197" s="111"/>
      <c r="M197" s="73"/>
      <c r="N197" s="112"/>
      <c r="O197" s="111"/>
      <c r="P197" s="312">
        <v>0</v>
      </c>
      <c r="Q197" s="288">
        <f t="shared" si="7"/>
        <v>0</v>
      </c>
      <c r="R197" s="118">
        <v>0</v>
      </c>
      <c r="S197" s="283">
        <v>2016</v>
      </c>
      <c r="T197" s="288">
        <f t="shared" si="8"/>
        <v>16344</v>
      </c>
    </row>
    <row r="198" spans="2:20">
      <c r="B198" s="386" t="s">
        <v>303</v>
      </c>
      <c r="C198" s="114"/>
      <c r="D198" s="111" t="s">
        <v>1547</v>
      </c>
      <c r="E198" s="111" t="s">
        <v>1604</v>
      </c>
      <c r="F198" s="111"/>
      <c r="G198" s="110" t="s">
        <v>2073</v>
      </c>
      <c r="H198" s="141">
        <v>91.525923000000006</v>
      </c>
      <c r="I198" s="280"/>
      <c r="J198" s="72">
        <v>148.52000000000001</v>
      </c>
      <c r="K198" s="271">
        <f t="shared" si="6"/>
        <v>13593.430083960002</v>
      </c>
      <c r="L198" s="111"/>
      <c r="M198" s="73"/>
      <c r="N198" s="112"/>
      <c r="O198" s="111"/>
      <c r="P198" s="312">
        <v>0</v>
      </c>
      <c r="Q198" s="288">
        <f t="shared" si="7"/>
        <v>0</v>
      </c>
      <c r="R198" s="118">
        <v>0</v>
      </c>
      <c r="S198" s="283">
        <v>2016</v>
      </c>
      <c r="T198" s="288">
        <f t="shared" si="8"/>
        <v>14730</v>
      </c>
    </row>
    <row r="199" spans="2:20">
      <c r="B199" s="386" t="s">
        <v>304</v>
      </c>
      <c r="C199" s="114"/>
      <c r="D199" s="111" t="s">
        <v>1547</v>
      </c>
      <c r="E199" s="111" t="s">
        <v>1604</v>
      </c>
      <c r="F199" s="111"/>
      <c r="G199" s="110" t="s">
        <v>2073</v>
      </c>
      <c r="H199" s="141">
        <v>38.993898999999999</v>
      </c>
      <c r="I199" s="280"/>
      <c r="J199" s="72">
        <v>148.52000000000001</v>
      </c>
      <c r="K199" s="271">
        <f t="shared" si="6"/>
        <v>5791.3738794800001</v>
      </c>
      <c r="L199" s="111"/>
      <c r="M199" s="73"/>
      <c r="N199" s="112"/>
      <c r="O199" s="111"/>
      <c r="P199" s="312">
        <v>0</v>
      </c>
      <c r="Q199" s="288">
        <f t="shared" si="7"/>
        <v>0</v>
      </c>
      <c r="R199" s="118">
        <v>0</v>
      </c>
      <c r="S199" s="283">
        <v>2016</v>
      </c>
      <c r="T199" s="288">
        <f t="shared" si="8"/>
        <v>6275</v>
      </c>
    </row>
    <row r="200" spans="2:20">
      <c r="B200" s="386" t="s">
        <v>305</v>
      </c>
      <c r="C200" s="114"/>
      <c r="D200" s="111" t="s">
        <v>1547</v>
      </c>
      <c r="E200" s="111" t="s">
        <v>1604</v>
      </c>
      <c r="F200" s="111"/>
      <c r="G200" s="110" t="s">
        <v>2073</v>
      </c>
      <c r="H200" s="141">
        <v>171.903986</v>
      </c>
      <c r="I200" s="280"/>
      <c r="J200" s="72">
        <v>148.52000000000001</v>
      </c>
      <c r="K200" s="271">
        <f t="shared" si="6"/>
        <v>25531.180000720004</v>
      </c>
      <c r="L200" s="111"/>
      <c r="M200" s="73"/>
      <c r="N200" s="112"/>
      <c r="O200" s="111"/>
      <c r="P200" s="312">
        <v>0</v>
      </c>
      <c r="Q200" s="288">
        <f t="shared" si="7"/>
        <v>0</v>
      </c>
      <c r="R200" s="118">
        <v>0</v>
      </c>
      <c r="S200" s="283">
        <v>2016</v>
      </c>
      <c r="T200" s="288">
        <f t="shared" si="8"/>
        <v>27665</v>
      </c>
    </row>
    <row r="201" spans="2:20">
      <c r="B201" s="386" t="s">
        <v>306</v>
      </c>
      <c r="C201" s="114"/>
      <c r="D201" s="111" t="s">
        <v>1547</v>
      </c>
      <c r="E201" s="111" t="s">
        <v>1604</v>
      </c>
      <c r="F201" s="111"/>
      <c r="G201" s="110" t="s">
        <v>2073</v>
      </c>
      <c r="H201" s="141">
        <v>87.631119999999996</v>
      </c>
      <c r="I201" s="280"/>
      <c r="J201" s="72">
        <v>148.52000000000001</v>
      </c>
      <c r="K201" s="271">
        <f t="shared" si="6"/>
        <v>13014.9739424</v>
      </c>
      <c r="L201" s="111"/>
      <c r="M201" s="73"/>
      <c r="N201" s="112"/>
      <c r="O201" s="111"/>
      <c r="P201" s="312">
        <v>0</v>
      </c>
      <c r="Q201" s="288">
        <f t="shared" si="7"/>
        <v>0</v>
      </c>
      <c r="R201" s="118">
        <v>0</v>
      </c>
      <c r="S201" s="283">
        <v>2016</v>
      </c>
      <c r="T201" s="288">
        <f t="shared" si="8"/>
        <v>14103</v>
      </c>
    </row>
    <row r="202" spans="2:20">
      <c r="B202" s="386" t="s">
        <v>307</v>
      </c>
      <c r="C202" s="114"/>
      <c r="D202" s="111" t="s">
        <v>1547</v>
      </c>
      <c r="E202" s="111" t="s">
        <v>1604</v>
      </c>
      <c r="F202" s="111"/>
      <c r="G202" s="110" t="s">
        <v>2073</v>
      </c>
      <c r="H202" s="141">
        <v>213.48191499999999</v>
      </c>
      <c r="I202" s="280"/>
      <c r="J202" s="72">
        <v>148.52000000000001</v>
      </c>
      <c r="K202" s="271">
        <f t="shared" si="6"/>
        <v>31706.334015799999</v>
      </c>
      <c r="L202" s="111"/>
      <c r="M202" s="73"/>
      <c r="N202" s="112"/>
      <c r="O202" s="111"/>
      <c r="P202" s="312">
        <v>0</v>
      </c>
      <c r="Q202" s="288">
        <f t="shared" si="7"/>
        <v>0</v>
      </c>
      <c r="R202" s="118">
        <v>0</v>
      </c>
      <c r="S202" s="283">
        <v>2016</v>
      </c>
      <c r="T202" s="288">
        <f t="shared" si="8"/>
        <v>34357</v>
      </c>
    </row>
    <row r="203" spans="2:20">
      <c r="B203" s="386" t="s">
        <v>308</v>
      </c>
      <c r="C203" s="114"/>
      <c r="D203" s="111" t="s">
        <v>1546</v>
      </c>
      <c r="E203" s="111" t="s">
        <v>1605</v>
      </c>
      <c r="F203" s="111"/>
      <c r="G203" s="110" t="s">
        <v>2073</v>
      </c>
      <c r="H203" s="141">
        <v>758.78328199999999</v>
      </c>
      <c r="I203" s="280"/>
      <c r="J203" s="72">
        <v>148.52000000000001</v>
      </c>
      <c r="K203" s="271">
        <f t="shared" si="6"/>
        <v>112694.49304264001</v>
      </c>
      <c r="L203" s="111"/>
      <c r="M203" s="73"/>
      <c r="N203" s="112"/>
      <c r="O203" s="111"/>
      <c r="P203" s="312">
        <v>0</v>
      </c>
      <c r="Q203" s="288">
        <f t="shared" si="7"/>
        <v>0</v>
      </c>
      <c r="R203" s="118">
        <v>0</v>
      </c>
      <c r="S203" s="283">
        <v>2016</v>
      </c>
      <c r="T203" s="288">
        <f t="shared" si="8"/>
        <v>122115</v>
      </c>
    </row>
    <row r="204" spans="2:20">
      <c r="B204" s="386" t="s">
        <v>309</v>
      </c>
      <c r="C204" s="114"/>
      <c r="D204" s="111" t="s">
        <v>1547</v>
      </c>
      <c r="E204" s="111" t="s">
        <v>1606</v>
      </c>
      <c r="F204" s="111"/>
      <c r="G204" s="110" t="s">
        <v>2073</v>
      </c>
      <c r="H204" s="141">
        <v>348.44256200000001</v>
      </c>
      <c r="I204" s="280"/>
      <c r="J204" s="72">
        <v>148.52000000000001</v>
      </c>
      <c r="K204" s="271">
        <f t="shared" ref="K204:K267" si="9">J204*H204</f>
        <v>51750.689308240006</v>
      </c>
      <c r="L204" s="111"/>
      <c r="M204" s="73"/>
      <c r="N204" s="112"/>
      <c r="O204" s="111"/>
      <c r="P204" s="312">
        <v>0</v>
      </c>
      <c r="Q204" s="288">
        <f t="shared" ref="Q204:Q267" si="10">IFERROR(R204/P204,0)</f>
        <v>0</v>
      </c>
      <c r="R204" s="118">
        <v>0</v>
      </c>
      <c r="S204" s="283">
        <v>2016</v>
      </c>
      <c r="T204" s="288">
        <f t="shared" si="8"/>
        <v>56077</v>
      </c>
    </row>
    <row r="205" spans="2:20">
      <c r="B205" s="386" t="s">
        <v>310</v>
      </c>
      <c r="C205" s="114"/>
      <c r="D205" s="111" t="s">
        <v>1546</v>
      </c>
      <c r="E205" s="111" t="s">
        <v>1607</v>
      </c>
      <c r="F205" s="111"/>
      <c r="G205" s="110" t="s">
        <v>2073</v>
      </c>
      <c r="H205" s="141">
        <v>629.331906</v>
      </c>
      <c r="I205" s="280"/>
      <c r="J205" s="72">
        <v>148.52000000000001</v>
      </c>
      <c r="K205" s="271">
        <f t="shared" si="9"/>
        <v>93468.37467912001</v>
      </c>
      <c r="L205" s="111"/>
      <c r="M205" s="73"/>
      <c r="N205" s="112"/>
      <c r="O205" s="111"/>
      <c r="P205" s="312">
        <v>0</v>
      </c>
      <c r="Q205" s="288">
        <f t="shared" si="10"/>
        <v>0</v>
      </c>
      <c r="R205" s="118">
        <v>0</v>
      </c>
      <c r="S205" s="283">
        <v>2016</v>
      </c>
      <c r="T205" s="288">
        <f t="shared" ref="T205:T268" si="11">IFERROR(ROUND((K205*(1+PPI_Existing)^(YEAR-S205))+(R205*((1+LandInd_Existing)^(YEAR-S205))),0),0)</f>
        <v>101281</v>
      </c>
    </row>
    <row r="206" spans="2:20">
      <c r="B206" s="386" t="s">
        <v>311</v>
      </c>
      <c r="C206" s="114"/>
      <c r="D206" s="111" t="s">
        <v>1547</v>
      </c>
      <c r="E206" s="111" t="s">
        <v>1608</v>
      </c>
      <c r="F206" s="111"/>
      <c r="G206" s="110" t="s">
        <v>2073</v>
      </c>
      <c r="H206" s="141">
        <v>898.24664800000005</v>
      </c>
      <c r="I206" s="280"/>
      <c r="J206" s="72">
        <v>148.52000000000001</v>
      </c>
      <c r="K206" s="271">
        <f t="shared" si="9"/>
        <v>133407.59216096002</v>
      </c>
      <c r="L206" s="111"/>
      <c r="M206" s="73"/>
      <c r="N206" s="112"/>
      <c r="O206" s="111"/>
      <c r="P206" s="312">
        <v>0</v>
      </c>
      <c r="Q206" s="288">
        <f t="shared" si="10"/>
        <v>0</v>
      </c>
      <c r="R206" s="118">
        <v>0</v>
      </c>
      <c r="S206" s="283">
        <v>2016</v>
      </c>
      <c r="T206" s="288">
        <f t="shared" si="11"/>
        <v>144559</v>
      </c>
    </row>
    <row r="207" spans="2:20">
      <c r="B207" s="386" t="s">
        <v>312</v>
      </c>
      <c r="C207" s="114"/>
      <c r="D207" s="111" t="s">
        <v>1546</v>
      </c>
      <c r="E207" s="111" t="s">
        <v>1609</v>
      </c>
      <c r="F207" s="111"/>
      <c r="G207" s="110" t="s">
        <v>2073</v>
      </c>
      <c r="H207" s="141">
        <v>1221.7116149999999</v>
      </c>
      <c r="I207" s="280"/>
      <c r="J207" s="72">
        <v>148.52000000000001</v>
      </c>
      <c r="K207" s="271">
        <f t="shared" si="9"/>
        <v>181448.60905980002</v>
      </c>
      <c r="L207" s="111"/>
      <c r="M207" s="73"/>
      <c r="N207" s="112"/>
      <c r="O207" s="111"/>
      <c r="P207" s="312">
        <v>0</v>
      </c>
      <c r="Q207" s="288">
        <f t="shared" si="10"/>
        <v>0</v>
      </c>
      <c r="R207" s="118">
        <v>0</v>
      </c>
      <c r="S207" s="283">
        <v>2016</v>
      </c>
      <c r="T207" s="288">
        <f t="shared" si="11"/>
        <v>196616</v>
      </c>
    </row>
    <row r="208" spans="2:20">
      <c r="B208" s="386" t="s">
        <v>313</v>
      </c>
      <c r="C208" s="114"/>
      <c r="D208" s="111" t="s">
        <v>1546</v>
      </c>
      <c r="E208" s="111" t="s">
        <v>1610</v>
      </c>
      <c r="F208" s="111"/>
      <c r="G208" s="110" t="s">
        <v>2073</v>
      </c>
      <c r="H208" s="141">
        <v>153.32813400000001</v>
      </c>
      <c r="I208" s="280"/>
      <c r="J208" s="72">
        <v>148.52000000000001</v>
      </c>
      <c r="K208" s="271">
        <f t="shared" si="9"/>
        <v>22772.294461680001</v>
      </c>
      <c r="L208" s="111"/>
      <c r="M208" s="73"/>
      <c r="N208" s="112"/>
      <c r="O208" s="111"/>
      <c r="P208" s="312">
        <v>90.256607700000004</v>
      </c>
      <c r="Q208" s="288">
        <f t="shared" si="10"/>
        <v>15.000000049857846</v>
      </c>
      <c r="R208" s="118">
        <v>1353.8491200000001</v>
      </c>
      <c r="S208" s="283">
        <v>2016</v>
      </c>
      <c r="T208" s="288">
        <f t="shared" si="11"/>
        <v>26145</v>
      </c>
    </row>
    <row r="209" spans="2:20">
      <c r="B209" s="386" t="s">
        <v>314</v>
      </c>
      <c r="C209" s="114"/>
      <c r="D209" s="111" t="s">
        <v>1546</v>
      </c>
      <c r="E209" s="111" t="s">
        <v>1611</v>
      </c>
      <c r="F209" s="111"/>
      <c r="G209" s="110" t="s">
        <v>2073</v>
      </c>
      <c r="H209" s="141">
        <v>703.13709400000005</v>
      </c>
      <c r="I209" s="280"/>
      <c r="J209" s="72">
        <v>148.52000000000001</v>
      </c>
      <c r="K209" s="271">
        <f t="shared" si="9"/>
        <v>104429.92120088001</v>
      </c>
      <c r="L209" s="111"/>
      <c r="M209" s="73"/>
      <c r="N209" s="112"/>
      <c r="O209" s="111"/>
      <c r="P209" s="312">
        <v>0</v>
      </c>
      <c r="Q209" s="288">
        <f t="shared" si="10"/>
        <v>0</v>
      </c>
      <c r="R209" s="118">
        <v>0</v>
      </c>
      <c r="S209" s="283">
        <v>2016</v>
      </c>
      <c r="T209" s="288">
        <f t="shared" si="11"/>
        <v>113159</v>
      </c>
    </row>
    <row r="210" spans="2:20">
      <c r="B210" s="386" t="s">
        <v>315</v>
      </c>
      <c r="C210" s="114"/>
      <c r="D210" s="111" t="s">
        <v>1546</v>
      </c>
      <c r="E210" s="111" t="s">
        <v>1611</v>
      </c>
      <c r="F210" s="111"/>
      <c r="G210" s="110" t="s">
        <v>2073</v>
      </c>
      <c r="H210" s="141">
        <v>190.98874699999999</v>
      </c>
      <c r="I210" s="280"/>
      <c r="J210" s="72">
        <v>148.52000000000001</v>
      </c>
      <c r="K210" s="271">
        <f t="shared" si="9"/>
        <v>28365.648704440002</v>
      </c>
      <c r="L210" s="111"/>
      <c r="M210" s="73"/>
      <c r="N210" s="112"/>
      <c r="O210" s="111"/>
      <c r="P210" s="312">
        <v>0</v>
      </c>
      <c r="Q210" s="288">
        <f t="shared" si="10"/>
        <v>0</v>
      </c>
      <c r="R210" s="118">
        <v>0</v>
      </c>
      <c r="S210" s="283">
        <v>2016</v>
      </c>
      <c r="T210" s="288">
        <f t="shared" si="11"/>
        <v>30737</v>
      </c>
    </row>
    <row r="211" spans="2:20">
      <c r="B211" s="386" t="s">
        <v>316</v>
      </c>
      <c r="C211" s="114"/>
      <c r="D211" s="111" t="s">
        <v>1546</v>
      </c>
      <c r="E211" s="111" t="s">
        <v>1611</v>
      </c>
      <c r="F211" s="111"/>
      <c r="G211" s="110" t="s">
        <v>2073</v>
      </c>
      <c r="H211" s="141">
        <v>166.371296</v>
      </c>
      <c r="I211" s="280"/>
      <c r="J211" s="72">
        <v>148.52000000000001</v>
      </c>
      <c r="K211" s="271">
        <f t="shared" si="9"/>
        <v>24709.464881920001</v>
      </c>
      <c r="L211" s="111"/>
      <c r="M211" s="73"/>
      <c r="N211" s="112"/>
      <c r="O211" s="111"/>
      <c r="P211" s="312">
        <v>0</v>
      </c>
      <c r="Q211" s="288">
        <f t="shared" si="10"/>
        <v>0</v>
      </c>
      <c r="R211" s="118">
        <v>0</v>
      </c>
      <c r="S211" s="283">
        <v>2016</v>
      </c>
      <c r="T211" s="288">
        <f t="shared" si="11"/>
        <v>26775</v>
      </c>
    </row>
    <row r="212" spans="2:20">
      <c r="B212" s="386" t="s">
        <v>317</v>
      </c>
      <c r="C212" s="114"/>
      <c r="D212" s="111" t="s">
        <v>1547</v>
      </c>
      <c r="E212" s="111" t="s">
        <v>1611</v>
      </c>
      <c r="F212" s="111"/>
      <c r="G212" s="110" t="s">
        <v>2073</v>
      </c>
      <c r="H212" s="141">
        <v>81.973011</v>
      </c>
      <c r="I212" s="280"/>
      <c r="J212" s="72">
        <v>148.52000000000001</v>
      </c>
      <c r="K212" s="271">
        <f t="shared" si="9"/>
        <v>12174.631593720002</v>
      </c>
      <c r="L212" s="111"/>
      <c r="M212" s="73"/>
      <c r="N212" s="112"/>
      <c r="O212" s="111"/>
      <c r="P212" s="312">
        <v>0</v>
      </c>
      <c r="Q212" s="288">
        <f t="shared" si="10"/>
        <v>0</v>
      </c>
      <c r="R212" s="118">
        <v>0</v>
      </c>
      <c r="S212" s="283">
        <v>2016</v>
      </c>
      <c r="T212" s="288">
        <f t="shared" si="11"/>
        <v>13192</v>
      </c>
    </row>
    <row r="213" spans="2:20">
      <c r="B213" s="386" t="s">
        <v>318</v>
      </c>
      <c r="C213" s="114"/>
      <c r="D213" s="111" t="s">
        <v>1547</v>
      </c>
      <c r="E213" s="111" t="s">
        <v>1612</v>
      </c>
      <c r="F213" s="111"/>
      <c r="G213" s="110" t="s">
        <v>2073</v>
      </c>
      <c r="H213" s="141">
        <v>165.713808</v>
      </c>
      <c r="I213" s="280"/>
      <c r="J213" s="72">
        <v>148.52000000000001</v>
      </c>
      <c r="K213" s="271">
        <f t="shared" si="9"/>
        <v>24611.814764160001</v>
      </c>
      <c r="L213" s="111"/>
      <c r="M213" s="73"/>
      <c r="N213" s="112"/>
      <c r="O213" s="111"/>
      <c r="P213" s="312">
        <v>0</v>
      </c>
      <c r="Q213" s="288">
        <f t="shared" si="10"/>
        <v>0</v>
      </c>
      <c r="R213" s="118">
        <v>0</v>
      </c>
      <c r="S213" s="283">
        <v>2016</v>
      </c>
      <c r="T213" s="288">
        <f t="shared" si="11"/>
        <v>26669</v>
      </c>
    </row>
    <row r="214" spans="2:20">
      <c r="B214" s="386" t="s">
        <v>319</v>
      </c>
      <c r="C214" s="114"/>
      <c r="D214" s="111" t="s">
        <v>1547</v>
      </c>
      <c r="E214" s="111" t="s">
        <v>1612</v>
      </c>
      <c r="F214" s="111"/>
      <c r="G214" s="110" t="s">
        <v>2073</v>
      </c>
      <c r="H214" s="141">
        <v>13.167191000000001</v>
      </c>
      <c r="I214" s="280"/>
      <c r="J214" s="72">
        <v>148.52000000000001</v>
      </c>
      <c r="K214" s="271">
        <f t="shared" si="9"/>
        <v>1955.5912073200002</v>
      </c>
      <c r="L214" s="111"/>
      <c r="M214" s="73"/>
      <c r="N214" s="112"/>
      <c r="O214" s="111"/>
      <c r="P214" s="312">
        <v>0</v>
      </c>
      <c r="Q214" s="288">
        <f t="shared" si="10"/>
        <v>0</v>
      </c>
      <c r="R214" s="118">
        <v>0</v>
      </c>
      <c r="S214" s="283">
        <v>2016</v>
      </c>
      <c r="T214" s="288">
        <f t="shared" si="11"/>
        <v>2119</v>
      </c>
    </row>
    <row r="215" spans="2:20">
      <c r="B215" s="386" t="s">
        <v>320</v>
      </c>
      <c r="C215" s="114"/>
      <c r="D215" s="111" t="s">
        <v>1547</v>
      </c>
      <c r="E215" s="111" t="s">
        <v>1613</v>
      </c>
      <c r="F215" s="111"/>
      <c r="G215" s="110" t="s">
        <v>2074</v>
      </c>
      <c r="H215" s="141">
        <v>83.768355999999997</v>
      </c>
      <c r="I215" s="280"/>
      <c r="J215" s="72">
        <v>148.52000000000001</v>
      </c>
      <c r="K215" s="271">
        <f t="shared" si="9"/>
        <v>12441.276233120001</v>
      </c>
      <c r="L215" s="111"/>
      <c r="M215" s="73"/>
      <c r="N215" s="112"/>
      <c r="O215" s="111"/>
      <c r="P215" s="312">
        <v>0</v>
      </c>
      <c r="Q215" s="288">
        <f t="shared" si="10"/>
        <v>0</v>
      </c>
      <c r="R215" s="118">
        <v>0</v>
      </c>
      <c r="S215" s="283">
        <v>2016</v>
      </c>
      <c r="T215" s="288">
        <f t="shared" si="11"/>
        <v>13481</v>
      </c>
    </row>
    <row r="216" spans="2:20">
      <c r="B216" s="386" t="s">
        <v>321</v>
      </c>
      <c r="C216" s="114"/>
      <c r="D216" s="111" t="s">
        <v>1546</v>
      </c>
      <c r="E216" s="111" t="s">
        <v>1614</v>
      </c>
      <c r="F216" s="111"/>
      <c r="G216" s="110" t="s">
        <v>2073</v>
      </c>
      <c r="H216" s="141">
        <v>330.36162000000002</v>
      </c>
      <c r="I216" s="280"/>
      <c r="J216" s="72">
        <v>148.52000000000001</v>
      </c>
      <c r="K216" s="271">
        <f t="shared" si="9"/>
        <v>49065.307802400006</v>
      </c>
      <c r="L216" s="111"/>
      <c r="M216" s="73"/>
      <c r="N216" s="112"/>
      <c r="O216" s="111"/>
      <c r="P216" s="312">
        <v>0</v>
      </c>
      <c r="Q216" s="288">
        <f t="shared" si="10"/>
        <v>0</v>
      </c>
      <c r="R216" s="118">
        <v>0</v>
      </c>
      <c r="S216" s="283">
        <v>2016</v>
      </c>
      <c r="T216" s="288">
        <f t="shared" si="11"/>
        <v>53167</v>
      </c>
    </row>
    <row r="217" spans="2:20">
      <c r="B217" s="386" t="s">
        <v>322</v>
      </c>
      <c r="C217" s="114"/>
      <c r="D217" s="111" t="s">
        <v>1546</v>
      </c>
      <c r="E217" s="111" t="s">
        <v>1615</v>
      </c>
      <c r="F217" s="111"/>
      <c r="G217" s="110" t="s">
        <v>2073</v>
      </c>
      <c r="H217" s="141">
        <v>151.76696699999999</v>
      </c>
      <c r="I217" s="280"/>
      <c r="J217" s="72">
        <v>148.52000000000001</v>
      </c>
      <c r="K217" s="271">
        <f t="shared" si="9"/>
        <v>22540.42993884</v>
      </c>
      <c r="L217" s="111"/>
      <c r="M217" s="73"/>
      <c r="N217" s="112"/>
      <c r="O217" s="111"/>
      <c r="P217" s="312">
        <v>0</v>
      </c>
      <c r="Q217" s="288">
        <f t="shared" si="10"/>
        <v>0</v>
      </c>
      <c r="R217" s="118">
        <v>0</v>
      </c>
      <c r="S217" s="283">
        <v>2016</v>
      </c>
      <c r="T217" s="288">
        <f t="shared" si="11"/>
        <v>24425</v>
      </c>
    </row>
    <row r="218" spans="2:20">
      <c r="B218" s="386" t="s">
        <v>323</v>
      </c>
      <c r="C218" s="114"/>
      <c r="D218" s="111" t="s">
        <v>1546</v>
      </c>
      <c r="E218" s="111" t="s">
        <v>1615</v>
      </c>
      <c r="F218" s="111"/>
      <c r="G218" s="110" t="s">
        <v>2073</v>
      </c>
      <c r="H218" s="141">
        <v>719.39617199999998</v>
      </c>
      <c r="I218" s="280"/>
      <c r="J218" s="72">
        <v>148.52000000000001</v>
      </c>
      <c r="K218" s="271">
        <f t="shared" si="9"/>
        <v>106844.71946544001</v>
      </c>
      <c r="L218" s="111"/>
      <c r="M218" s="73"/>
      <c r="N218" s="112"/>
      <c r="O218" s="111"/>
      <c r="P218" s="312">
        <v>0</v>
      </c>
      <c r="Q218" s="288">
        <f t="shared" si="10"/>
        <v>0</v>
      </c>
      <c r="R218" s="118">
        <v>0</v>
      </c>
      <c r="S218" s="283">
        <v>2016</v>
      </c>
      <c r="T218" s="288">
        <f t="shared" si="11"/>
        <v>115776</v>
      </c>
    </row>
    <row r="219" spans="2:20">
      <c r="B219" s="386" t="s">
        <v>324</v>
      </c>
      <c r="C219" s="114"/>
      <c r="D219" s="111" t="s">
        <v>1546</v>
      </c>
      <c r="E219" s="111" t="s">
        <v>1615</v>
      </c>
      <c r="F219" s="111"/>
      <c r="G219" s="110" t="s">
        <v>2073</v>
      </c>
      <c r="H219" s="141">
        <v>381.57139799999999</v>
      </c>
      <c r="I219" s="280"/>
      <c r="J219" s="72">
        <v>148.52000000000001</v>
      </c>
      <c r="K219" s="271">
        <f t="shared" si="9"/>
        <v>56670.984030960004</v>
      </c>
      <c r="L219" s="111"/>
      <c r="M219" s="73"/>
      <c r="N219" s="112"/>
      <c r="O219" s="111"/>
      <c r="P219" s="312">
        <v>0</v>
      </c>
      <c r="Q219" s="288">
        <f t="shared" si="10"/>
        <v>0</v>
      </c>
      <c r="R219" s="118">
        <v>0</v>
      </c>
      <c r="S219" s="283">
        <v>2016</v>
      </c>
      <c r="T219" s="288">
        <f t="shared" si="11"/>
        <v>61408</v>
      </c>
    </row>
    <row r="220" spans="2:20">
      <c r="B220" s="386" t="s">
        <v>325</v>
      </c>
      <c r="C220" s="114"/>
      <c r="D220" s="111" t="s">
        <v>1547</v>
      </c>
      <c r="E220" s="111" t="s">
        <v>1616</v>
      </c>
      <c r="F220" s="111"/>
      <c r="G220" s="110" t="s">
        <v>2073</v>
      </c>
      <c r="H220" s="141">
        <v>14.873576999999999</v>
      </c>
      <c r="I220" s="280"/>
      <c r="J220" s="72">
        <v>148.52000000000001</v>
      </c>
      <c r="K220" s="271">
        <f t="shared" si="9"/>
        <v>2209.0236560399999</v>
      </c>
      <c r="L220" s="111"/>
      <c r="M220" s="73"/>
      <c r="N220" s="112"/>
      <c r="O220" s="111"/>
      <c r="P220" s="312">
        <v>0</v>
      </c>
      <c r="Q220" s="288">
        <f t="shared" si="10"/>
        <v>0</v>
      </c>
      <c r="R220" s="118">
        <v>0</v>
      </c>
      <c r="S220" s="283">
        <v>2016</v>
      </c>
      <c r="T220" s="288">
        <f t="shared" si="11"/>
        <v>2394</v>
      </c>
    </row>
    <row r="221" spans="2:20">
      <c r="B221" s="386" t="s">
        <v>326</v>
      </c>
      <c r="C221" s="114"/>
      <c r="D221" s="111" t="s">
        <v>1547</v>
      </c>
      <c r="E221" s="111" t="s">
        <v>1616</v>
      </c>
      <c r="F221" s="111"/>
      <c r="G221" s="110" t="s">
        <v>2072</v>
      </c>
      <c r="H221" s="141">
        <v>21.961326</v>
      </c>
      <c r="I221" s="280"/>
      <c r="J221" s="72">
        <v>151.88</v>
      </c>
      <c r="K221" s="271">
        <f t="shared" si="9"/>
        <v>3335.4861928799996</v>
      </c>
      <c r="L221" s="111"/>
      <c r="M221" s="73"/>
      <c r="N221" s="112"/>
      <c r="O221" s="111"/>
      <c r="P221" s="312">
        <v>0</v>
      </c>
      <c r="Q221" s="288">
        <f t="shared" si="10"/>
        <v>0</v>
      </c>
      <c r="R221" s="118">
        <v>0</v>
      </c>
      <c r="S221" s="283">
        <v>2016</v>
      </c>
      <c r="T221" s="288">
        <f t="shared" si="11"/>
        <v>3614</v>
      </c>
    </row>
    <row r="222" spans="2:20">
      <c r="B222" s="386" t="s">
        <v>327</v>
      </c>
      <c r="C222" s="114"/>
      <c r="D222" s="111" t="s">
        <v>1546</v>
      </c>
      <c r="E222" s="111" t="s">
        <v>1617</v>
      </c>
      <c r="F222" s="111"/>
      <c r="G222" s="110" t="s">
        <v>2073</v>
      </c>
      <c r="H222" s="141">
        <v>499.87067200000001</v>
      </c>
      <c r="I222" s="280"/>
      <c r="J222" s="72">
        <v>148.52000000000001</v>
      </c>
      <c r="K222" s="271">
        <f t="shared" si="9"/>
        <v>74240.792205440011</v>
      </c>
      <c r="L222" s="111"/>
      <c r="M222" s="73"/>
      <c r="N222" s="112"/>
      <c r="O222" s="111"/>
      <c r="P222" s="312">
        <v>0</v>
      </c>
      <c r="Q222" s="288">
        <f t="shared" si="10"/>
        <v>0</v>
      </c>
      <c r="R222" s="118">
        <v>0</v>
      </c>
      <c r="S222" s="283">
        <v>2016</v>
      </c>
      <c r="T222" s="288">
        <f t="shared" si="11"/>
        <v>80447</v>
      </c>
    </row>
    <row r="223" spans="2:20">
      <c r="B223" s="386" t="s">
        <v>328</v>
      </c>
      <c r="C223" s="114"/>
      <c r="D223" s="111" t="s">
        <v>1547</v>
      </c>
      <c r="E223" s="111" t="s">
        <v>1618</v>
      </c>
      <c r="F223" s="111"/>
      <c r="G223" s="110" t="s">
        <v>2074</v>
      </c>
      <c r="H223" s="141">
        <v>504.24319300000002</v>
      </c>
      <c r="I223" s="280"/>
      <c r="J223" s="72">
        <v>148.52000000000001</v>
      </c>
      <c r="K223" s="271">
        <f t="shared" si="9"/>
        <v>74890.199024360001</v>
      </c>
      <c r="L223" s="111"/>
      <c r="M223" s="73"/>
      <c r="N223" s="112"/>
      <c r="O223" s="111"/>
      <c r="P223" s="312">
        <v>0</v>
      </c>
      <c r="Q223" s="288">
        <f t="shared" si="10"/>
        <v>0</v>
      </c>
      <c r="R223" s="118">
        <v>0</v>
      </c>
      <c r="S223" s="283">
        <v>2016</v>
      </c>
      <c r="T223" s="288">
        <f t="shared" si="11"/>
        <v>81150</v>
      </c>
    </row>
    <row r="224" spans="2:20">
      <c r="B224" s="386" t="s">
        <v>329</v>
      </c>
      <c r="C224" s="114"/>
      <c r="D224" s="111" t="s">
        <v>1546</v>
      </c>
      <c r="E224" s="111" t="s">
        <v>1619</v>
      </c>
      <c r="F224" s="111"/>
      <c r="G224" s="110" t="s">
        <v>2073</v>
      </c>
      <c r="H224" s="141">
        <v>315.30605600000001</v>
      </c>
      <c r="I224" s="280"/>
      <c r="J224" s="72">
        <v>148.52000000000001</v>
      </c>
      <c r="K224" s="271">
        <f t="shared" si="9"/>
        <v>46829.255437120002</v>
      </c>
      <c r="L224" s="111"/>
      <c r="M224" s="73"/>
      <c r="N224" s="112"/>
      <c r="O224" s="111"/>
      <c r="P224" s="312">
        <v>0</v>
      </c>
      <c r="Q224" s="288">
        <f t="shared" si="10"/>
        <v>0</v>
      </c>
      <c r="R224" s="118">
        <v>0</v>
      </c>
      <c r="S224" s="283">
        <v>2016</v>
      </c>
      <c r="T224" s="288">
        <f t="shared" si="11"/>
        <v>50744</v>
      </c>
    </row>
    <row r="225" spans="2:20">
      <c r="B225" s="386" t="s">
        <v>330</v>
      </c>
      <c r="C225" s="114"/>
      <c r="D225" s="111" t="s">
        <v>1546</v>
      </c>
      <c r="E225" s="111" t="s">
        <v>1619</v>
      </c>
      <c r="F225" s="111"/>
      <c r="G225" s="110" t="s">
        <v>2073</v>
      </c>
      <c r="H225" s="141">
        <v>45.261049</v>
      </c>
      <c r="I225" s="280"/>
      <c r="J225" s="72">
        <v>148.52000000000001</v>
      </c>
      <c r="K225" s="271">
        <f t="shared" si="9"/>
        <v>6722.1709974800006</v>
      </c>
      <c r="L225" s="111"/>
      <c r="M225" s="73"/>
      <c r="N225" s="112"/>
      <c r="O225" s="111"/>
      <c r="P225" s="312">
        <v>0</v>
      </c>
      <c r="Q225" s="288">
        <f t="shared" si="10"/>
        <v>0</v>
      </c>
      <c r="R225" s="118">
        <v>0</v>
      </c>
      <c r="S225" s="283">
        <v>2016</v>
      </c>
      <c r="T225" s="288">
        <f t="shared" si="11"/>
        <v>7284</v>
      </c>
    </row>
    <row r="226" spans="2:20">
      <c r="B226" s="386" t="s">
        <v>331</v>
      </c>
      <c r="C226" s="114"/>
      <c r="D226" s="111" t="s">
        <v>1546</v>
      </c>
      <c r="E226" s="111" t="s">
        <v>1620</v>
      </c>
      <c r="F226" s="111"/>
      <c r="G226" s="110" t="s">
        <v>2073</v>
      </c>
      <c r="H226" s="141">
        <v>177.83113</v>
      </c>
      <c r="I226" s="280"/>
      <c r="J226" s="72">
        <v>148.52000000000001</v>
      </c>
      <c r="K226" s="271">
        <f t="shared" si="9"/>
        <v>26411.479427600003</v>
      </c>
      <c r="L226" s="111"/>
      <c r="M226" s="73"/>
      <c r="N226" s="112"/>
      <c r="O226" s="111"/>
      <c r="P226" s="312">
        <v>0</v>
      </c>
      <c r="Q226" s="288">
        <f t="shared" si="10"/>
        <v>0</v>
      </c>
      <c r="R226" s="118">
        <v>0</v>
      </c>
      <c r="S226" s="283">
        <v>2016</v>
      </c>
      <c r="T226" s="288">
        <f t="shared" si="11"/>
        <v>28619</v>
      </c>
    </row>
    <row r="227" spans="2:20">
      <c r="B227" s="386" t="s">
        <v>332</v>
      </c>
      <c r="C227" s="114"/>
      <c r="D227" s="111" t="s">
        <v>1546</v>
      </c>
      <c r="E227" s="111" t="s">
        <v>1621</v>
      </c>
      <c r="F227" s="111"/>
      <c r="G227" s="110" t="s">
        <v>2073</v>
      </c>
      <c r="H227" s="141">
        <v>1574.76306</v>
      </c>
      <c r="I227" s="280"/>
      <c r="J227" s="72">
        <v>148.52000000000001</v>
      </c>
      <c r="K227" s="271">
        <f t="shared" si="9"/>
        <v>233883.80967120003</v>
      </c>
      <c r="L227" s="111"/>
      <c r="M227" s="73"/>
      <c r="N227" s="112"/>
      <c r="O227" s="111"/>
      <c r="P227" s="312">
        <v>0</v>
      </c>
      <c r="Q227" s="288">
        <f t="shared" si="10"/>
        <v>0</v>
      </c>
      <c r="R227" s="118">
        <v>0</v>
      </c>
      <c r="S227" s="283">
        <v>2016</v>
      </c>
      <c r="T227" s="288">
        <f t="shared" si="11"/>
        <v>253434</v>
      </c>
    </row>
    <row r="228" spans="2:20">
      <c r="B228" s="386" t="s">
        <v>333</v>
      </c>
      <c r="C228" s="114"/>
      <c r="D228" s="111" t="s">
        <v>1547</v>
      </c>
      <c r="E228" s="111" t="s">
        <v>1622</v>
      </c>
      <c r="F228" s="111"/>
      <c r="G228" s="110" t="s">
        <v>2073</v>
      </c>
      <c r="H228" s="141">
        <v>62.672415000000001</v>
      </c>
      <c r="I228" s="280"/>
      <c r="J228" s="72">
        <v>148.52000000000001</v>
      </c>
      <c r="K228" s="271">
        <f t="shared" si="9"/>
        <v>9308.1070758000005</v>
      </c>
      <c r="L228" s="111"/>
      <c r="M228" s="73"/>
      <c r="N228" s="112"/>
      <c r="O228" s="111"/>
      <c r="P228" s="312">
        <v>0</v>
      </c>
      <c r="Q228" s="288">
        <f t="shared" si="10"/>
        <v>0</v>
      </c>
      <c r="R228" s="118">
        <v>0</v>
      </c>
      <c r="S228" s="283">
        <v>2016</v>
      </c>
      <c r="T228" s="288">
        <f t="shared" si="11"/>
        <v>10086</v>
      </c>
    </row>
    <row r="229" spans="2:20">
      <c r="B229" s="386" t="s">
        <v>334</v>
      </c>
      <c r="C229" s="114"/>
      <c r="D229" s="111" t="s">
        <v>1547</v>
      </c>
      <c r="E229" s="111" t="s">
        <v>1622</v>
      </c>
      <c r="F229" s="111"/>
      <c r="G229" s="110" t="s">
        <v>2073</v>
      </c>
      <c r="H229" s="141">
        <v>53.167582000000003</v>
      </c>
      <c r="I229" s="280"/>
      <c r="J229" s="72">
        <v>148.52000000000001</v>
      </c>
      <c r="K229" s="271">
        <f t="shared" si="9"/>
        <v>7896.4492786400006</v>
      </c>
      <c r="L229" s="111"/>
      <c r="M229" s="73"/>
      <c r="N229" s="112"/>
      <c r="O229" s="111"/>
      <c r="P229" s="312">
        <v>0</v>
      </c>
      <c r="Q229" s="288">
        <f t="shared" si="10"/>
        <v>0</v>
      </c>
      <c r="R229" s="118">
        <v>0</v>
      </c>
      <c r="S229" s="283">
        <v>2016</v>
      </c>
      <c r="T229" s="288">
        <f t="shared" si="11"/>
        <v>8557</v>
      </c>
    </row>
    <row r="230" spans="2:20">
      <c r="B230" s="386" t="s">
        <v>335</v>
      </c>
      <c r="C230" s="114"/>
      <c r="D230" s="111" t="s">
        <v>1546</v>
      </c>
      <c r="E230" s="111" t="s">
        <v>1623</v>
      </c>
      <c r="F230" s="111"/>
      <c r="G230" s="110" t="s">
        <v>2074</v>
      </c>
      <c r="H230" s="141">
        <v>28.893943</v>
      </c>
      <c r="I230" s="280"/>
      <c r="J230" s="72">
        <v>148.52000000000001</v>
      </c>
      <c r="K230" s="271">
        <f t="shared" si="9"/>
        <v>4291.3284143600004</v>
      </c>
      <c r="L230" s="111"/>
      <c r="M230" s="73"/>
      <c r="N230" s="112"/>
      <c r="O230" s="111"/>
      <c r="P230" s="312">
        <v>0</v>
      </c>
      <c r="Q230" s="288">
        <f t="shared" si="10"/>
        <v>0</v>
      </c>
      <c r="R230" s="118">
        <v>0</v>
      </c>
      <c r="S230" s="283">
        <v>2016</v>
      </c>
      <c r="T230" s="288">
        <f t="shared" si="11"/>
        <v>4650</v>
      </c>
    </row>
    <row r="231" spans="2:20">
      <c r="B231" s="386" t="s">
        <v>336</v>
      </c>
      <c r="C231" s="114"/>
      <c r="D231" s="111" t="s">
        <v>1547</v>
      </c>
      <c r="E231" s="111" t="s">
        <v>1624</v>
      </c>
      <c r="F231" s="111"/>
      <c r="G231" s="110" t="s">
        <v>2073</v>
      </c>
      <c r="H231" s="141">
        <v>57.435208000000003</v>
      </c>
      <c r="I231" s="280"/>
      <c r="J231" s="72">
        <v>148.52000000000001</v>
      </c>
      <c r="K231" s="271">
        <f t="shared" si="9"/>
        <v>8530.2770921600004</v>
      </c>
      <c r="L231" s="111"/>
      <c r="M231" s="73"/>
      <c r="N231" s="112"/>
      <c r="O231" s="111"/>
      <c r="P231" s="312">
        <v>0</v>
      </c>
      <c r="Q231" s="288">
        <f t="shared" si="10"/>
        <v>0</v>
      </c>
      <c r="R231" s="118">
        <v>0</v>
      </c>
      <c r="S231" s="283">
        <v>2016</v>
      </c>
      <c r="T231" s="288">
        <f t="shared" si="11"/>
        <v>9243</v>
      </c>
    </row>
    <row r="232" spans="2:20">
      <c r="B232" s="386" t="s">
        <v>337</v>
      </c>
      <c r="C232" s="114"/>
      <c r="D232" s="111" t="s">
        <v>1546</v>
      </c>
      <c r="E232" s="111" t="s">
        <v>1625</v>
      </c>
      <c r="F232" s="111"/>
      <c r="G232" s="110" t="s">
        <v>2074</v>
      </c>
      <c r="H232" s="141">
        <v>714.78481599999998</v>
      </c>
      <c r="I232" s="280"/>
      <c r="J232" s="72">
        <v>148.52000000000001</v>
      </c>
      <c r="K232" s="271">
        <f t="shared" si="9"/>
        <v>106159.84087232</v>
      </c>
      <c r="L232" s="111"/>
      <c r="M232" s="73"/>
      <c r="N232" s="112"/>
      <c r="O232" s="111"/>
      <c r="P232" s="312">
        <v>0</v>
      </c>
      <c r="Q232" s="288">
        <f t="shared" si="10"/>
        <v>0</v>
      </c>
      <c r="R232" s="118">
        <v>0</v>
      </c>
      <c r="S232" s="283">
        <v>2016</v>
      </c>
      <c r="T232" s="288">
        <f t="shared" si="11"/>
        <v>115034</v>
      </c>
    </row>
    <row r="233" spans="2:20">
      <c r="B233" s="386" t="s">
        <v>338</v>
      </c>
      <c r="C233" s="114"/>
      <c r="D233" s="111" t="s">
        <v>1546</v>
      </c>
      <c r="E233" s="111" t="s">
        <v>1625</v>
      </c>
      <c r="F233" s="111"/>
      <c r="G233" s="110" t="s">
        <v>2073</v>
      </c>
      <c r="H233" s="141">
        <v>19.617564000000002</v>
      </c>
      <c r="I233" s="280"/>
      <c r="J233" s="72">
        <v>148.52000000000001</v>
      </c>
      <c r="K233" s="271">
        <f t="shared" si="9"/>
        <v>2913.6006052800003</v>
      </c>
      <c r="L233" s="111"/>
      <c r="M233" s="73"/>
      <c r="N233" s="112"/>
      <c r="O233" s="111"/>
      <c r="P233" s="312">
        <v>0</v>
      </c>
      <c r="Q233" s="288">
        <f t="shared" si="10"/>
        <v>0</v>
      </c>
      <c r="R233" s="118">
        <v>0</v>
      </c>
      <c r="S233" s="283">
        <v>2016</v>
      </c>
      <c r="T233" s="288">
        <f t="shared" si="11"/>
        <v>3157</v>
      </c>
    </row>
    <row r="234" spans="2:20">
      <c r="B234" s="386" t="s">
        <v>339</v>
      </c>
      <c r="C234" s="114"/>
      <c r="D234" s="111" t="s">
        <v>1546</v>
      </c>
      <c r="E234" s="111" t="s">
        <v>1625</v>
      </c>
      <c r="F234" s="111"/>
      <c r="G234" s="110" t="s">
        <v>2074</v>
      </c>
      <c r="H234" s="141">
        <v>471.54623800000002</v>
      </c>
      <c r="I234" s="280"/>
      <c r="J234" s="72">
        <v>148.52000000000001</v>
      </c>
      <c r="K234" s="271">
        <f t="shared" si="9"/>
        <v>70034.047267760005</v>
      </c>
      <c r="L234" s="111"/>
      <c r="M234" s="73"/>
      <c r="N234" s="112"/>
      <c r="O234" s="111"/>
      <c r="P234" s="312">
        <v>0</v>
      </c>
      <c r="Q234" s="288">
        <f t="shared" si="10"/>
        <v>0</v>
      </c>
      <c r="R234" s="118">
        <v>0</v>
      </c>
      <c r="S234" s="283">
        <v>2016</v>
      </c>
      <c r="T234" s="288">
        <f t="shared" si="11"/>
        <v>75888</v>
      </c>
    </row>
    <row r="235" spans="2:20">
      <c r="B235" s="386" t="s">
        <v>340</v>
      </c>
      <c r="C235" s="114"/>
      <c r="D235" s="111" t="s">
        <v>1546</v>
      </c>
      <c r="E235" s="111" t="s">
        <v>1626</v>
      </c>
      <c r="F235" s="111"/>
      <c r="G235" s="110" t="s">
        <v>2073</v>
      </c>
      <c r="H235" s="141">
        <v>1729.3948370000001</v>
      </c>
      <c r="I235" s="280"/>
      <c r="J235" s="72">
        <v>148.52000000000001</v>
      </c>
      <c r="K235" s="271">
        <f t="shared" si="9"/>
        <v>256849.72119124004</v>
      </c>
      <c r="L235" s="111"/>
      <c r="M235" s="73"/>
      <c r="N235" s="112"/>
      <c r="O235" s="111"/>
      <c r="P235" s="312">
        <v>0</v>
      </c>
      <c r="Q235" s="288">
        <f t="shared" si="10"/>
        <v>0</v>
      </c>
      <c r="R235" s="118">
        <v>0</v>
      </c>
      <c r="S235" s="283">
        <v>2016</v>
      </c>
      <c r="T235" s="288">
        <f t="shared" si="11"/>
        <v>278320</v>
      </c>
    </row>
    <row r="236" spans="2:20">
      <c r="B236" s="386" t="s">
        <v>341</v>
      </c>
      <c r="C236" s="114"/>
      <c r="D236" s="111" t="s">
        <v>1546</v>
      </c>
      <c r="E236" s="111" t="s">
        <v>1627</v>
      </c>
      <c r="F236" s="111"/>
      <c r="G236" s="110" t="s">
        <v>2073</v>
      </c>
      <c r="H236" s="141">
        <v>93.170063999999996</v>
      </c>
      <c r="I236" s="280"/>
      <c r="J236" s="72">
        <v>148.52000000000001</v>
      </c>
      <c r="K236" s="271">
        <f t="shared" si="9"/>
        <v>13837.61790528</v>
      </c>
      <c r="L236" s="111"/>
      <c r="M236" s="73"/>
      <c r="N236" s="112"/>
      <c r="O236" s="111"/>
      <c r="P236" s="312">
        <v>0</v>
      </c>
      <c r="Q236" s="288">
        <f t="shared" si="10"/>
        <v>0</v>
      </c>
      <c r="R236" s="118">
        <v>0</v>
      </c>
      <c r="S236" s="283">
        <v>2016</v>
      </c>
      <c r="T236" s="288">
        <f t="shared" si="11"/>
        <v>14994</v>
      </c>
    </row>
    <row r="237" spans="2:20">
      <c r="B237" s="386" t="s">
        <v>342</v>
      </c>
      <c r="C237" s="114"/>
      <c r="D237" s="111" t="s">
        <v>1546</v>
      </c>
      <c r="E237" s="111" t="s">
        <v>1627</v>
      </c>
      <c r="F237" s="111"/>
      <c r="G237" s="110" t="s">
        <v>2072</v>
      </c>
      <c r="H237" s="141">
        <v>49.225149000000002</v>
      </c>
      <c r="I237" s="280"/>
      <c r="J237" s="72">
        <v>151.88</v>
      </c>
      <c r="K237" s="271">
        <f t="shared" si="9"/>
        <v>7476.3156301199997</v>
      </c>
      <c r="L237" s="111"/>
      <c r="M237" s="73"/>
      <c r="N237" s="112"/>
      <c r="O237" s="111"/>
      <c r="P237" s="312">
        <v>0</v>
      </c>
      <c r="Q237" s="288">
        <f t="shared" si="10"/>
        <v>0</v>
      </c>
      <c r="R237" s="118">
        <v>0</v>
      </c>
      <c r="S237" s="283">
        <v>2016</v>
      </c>
      <c r="T237" s="288">
        <f t="shared" si="11"/>
        <v>8101</v>
      </c>
    </row>
    <row r="238" spans="2:20">
      <c r="B238" s="386" t="s">
        <v>343</v>
      </c>
      <c r="C238" s="114"/>
      <c r="D238" s="111" t="s">
        <v>1546</v>
      </c>
      <c r="E238" s="111" t="s">
        <v>1628</v>
      </c>
      <c r="F238" s="111"/>
      <c r="G238" s="110" t="s">
        <v>2073</v>
      </c>
      <c r="H238" s="141">
        <v>2669.5232980000001</v>
      </c>
      <c r="I238" s="280"/>
      <c r="J238" s="72">
        <v>148.52000000000001</v>
      </c>
      <c r="K238" s="271">
        <f t="shared" si="9"/>
        <v>396477.60021896003</v>
      </c>
      <c r="L238" s="111"/>
      <c r="M238" s="73"/>
      <c r="N238" s="112"/>
      <c r="O238" s="111"/>
      <c r="P238" s="312">
        <v>0</v>
      </c>
      <c r="Q238" s="288">
        <f t="shared" si="10"/>
        <v>0</v>
      </c>
      <c r="R238" s="118">
        <v>0</v>
      </c>
      <c r="S238" s="283">
        <v>2016</v>
      </c>
      <c r="T238" s="288">
        <f t="shared" si="11"/>
        <v>429619</v>
      </c>
    </row>
    <row r="239" spans="2:20">
      <c r="B239" s="386" t="s">
        <v>344</v>
      </c>
      <c r="C239" s="114"/>
      <c r="D239" s="111" t="s">
        <v>1546</v>
      </c>
      <c r="E239" s="111" t="s">
        <v>1573</v>
      </c>
      <c r="F239" s="111"/>
      <c r="G239" s="110" t="s">
        <v>2073</v>
      </c>
      <c r="H239" s="141">
        <v>673.42573600000003</v>
      </c>
      <c r="I239" s="280"/>
      <c r="J239" s="72">
        <v>148.52000000000001</v>
      </c>
      <c r="K239" s="271">
        <f t="shared" si="9"/>
        <v>100017.19031072001</v>
      </c>
      <c r="L239" s="111"/>
      <c r="M239" s="73"/>
      <c r="N239" s="112"/>
      <c r="O239" s="111"/>
      <c r="P239" s="312">
        <v>0</v>
      </c>
      <c r="Q239" s="288">
        <f t="shared" si="10"/>
        <v>0</v>
      </c>
      <c r="R239" s="118">
        <v>0</v>
      </c>
      <c r="S239" s="283">
        <v>2016</v>
      </c>
      <c r="T239" s="288">
        <f t="shared" si="11"/>
        <v>108378</v>
      </c>
    </row>
    <row r="240" spans="2:20">
      <c r="B240" s="386" t="s">
        <v>345</v>
      </c>
      <c r="C240" s="114"/>
      <c r="D240" s="111" t="s">
        <v>1547</v>
      </c>
      <c r="E240" s="111" t="s">
        <v>1629</v>
      </c>
      <c r="F240" s="111"/>
      <c r="G240" s="110" t="s">
        <v>2073</v>
      </c>
      <c r="H240" s="141">
        <v>356.238809</v>
      </c>
      <c r="I240" s="280"/>
      <c r="J240" s="72">
        <v>148.52000000000001</v>
      </c>
      <c r="K240" s="271">
        <f t="shared" si="9"/>
        <v>52908.587912680006</v>
      </c>
      <c r="L240" s="111"/>
      <c r="M240" s="73"/>
      <c r="N240" s="112"/>
      <c r="O240" s="111"/>
      <c r="P240" s="312">
        <v>0</v>
      </c>
      <c r="Q240" s="288">
        <f t="shared" si="10"/>
        <v>0</v>
      </c>
      <c r="R240" s="118">
        <v>0</v>
      </c>
      <c r="S240" s="283">
        <v>2016</v>
      </c>
      <c r="T240" s="288">
        <f t="shared" si="11"/>
        <v>57331</v>
      </c>
    </row>
    <row r="241" spans="2:20">
      <c r="B241" s="386" t="s">
        <v>346</v>
      </c>
      <c r="C241" s="114"/>
      <c r="D241" s="111" t="s">
        <v>1547</v>
      </c>
      <c r="E241" s="111" t="s">
        <v>1629</v>
      </c>
      <c r="F241" s="111"/>
      <c r="G241" s="110" t="s">
        <v>2074</v>
      </c>
      <c r="H241" s="141">
        <v>17.729376999999999</v>
      </c>
      <c r="I241" s="280"/>
      <c r="J241" s="72">
        <v>148.52000000000001</v>
      </c>
      <c r="K241" s="271">
        <f t="shared" si="9"/>
        <v>2633.1670720400002</v>
      </c>
      <c r="L241" s="111"/>
      <c r="M241" s="73"/>
      <c r="N241" s="112"/>
      <c r="O241" s="111"/>
      <c r="P241" s="312">
        <v>0</v>
      </c>
      <c r="Q241" s="288">
        <f t="shared" si="10"/>
        <v>0</v>
      </c>
      <c r="R241" s="118">
        <v>0</v>
      </c>
      <c r="S241" s="283">
        <v>2016</v>
      </c>
      <c r="T241" s="288">
        <f t="shared" si="11"/>
        <v>2853</v>
      </c>
    </row>
    <row r="242" spans="2:20">
      <c r="B242" s="386" t="s">
        <v>347</v>
      </c>
      <c r="C242" s="114"/>
      <c r="D242" s="111" t="s">
        <v>1546</v>
      </c>
      <c r="E242" s="111" t="s">
        <v>1630</v>
      </c>
      <c r="F242" s="111"/>
      <c r="G242" s="110" t="s">
        <v>2073</v>
      </c>
      <c r="H242" s="141">
        <v>759.23884699999996</v>
      </c>
      <c r="I242" s="280"/>
      <c r="J242" s="72">
        <v>148.52000000000001</v>
      </c>
      <c r="K242" s="271">
        <f t="shared" si="9"/>
        <v>112762.15355644</v>
      </c>
      <c r="L242" s="111"/>
      <c r="M242" s="73"/>
      <c r="N242" s="112"/>
      <c r="O242" s="111"/>
      <c r="P242" s="312">
        <v>0</v>
      </c>
      <c r="Q242" s="288">
        <f t="shared" si="10"/>
        <v>0</v>
      </c>
      <c r="R242" s="118">
        <v>0</v>
      </c>
      <c r="S242" s="283">
        <v>2016</v>
      </c>
      <c r="T242" s="288">
        <f t="shared" si="11"/>
        <v>122188</v>
      </c>
    </row>
    <row r="243" spans="2:20">
      <c r="B243" s="386" t="s">
        <v>348</v>
      </c>
      <c r="C243" s="114"/>
      <c r="D243" s="111" t="s">
        <v>1546</v>
      </c>
      <c r="E243" s="111" t="s">
        <v>1630</v>
      </c>
      <c r="F243" s="111"/>
      <c r="G243" s="110" t="s">
        <v>2073</v>
      </c>
      <c r="H243" s="141">
        <v>870.00345600000003</v>
      </c>
      <c r="I243" s="280"/>
      <c r="J243" s="72">
        <v>148.52000000000001</v>
      </c>
      <c r="K243" s="271">
        <f t="shared" si="9"/>
        <v>129212.91328512001</v>
      </c>
      <c r="L243" s="111"/>
      <c r="M243" s="73"/>
      <c r="N243" s="112"/>
      <c r="O243" s="111"/>
      <c r="P243" s="312">
        <v>0</v>
      </c>
      <c r="Q243" s="288">
        <f t="shared" si="10"/>
        <v>0</v>
      </c>
      <c r="R243" s="118">
        <v>0</v>
      </c>
      <c r="S243" s="283">
        <v>2016</v>
      </c>
      <c r="T243" s="288">
        <f t="shared" si="11"/>
        <v>140014</v>
      </c>
    </row>
    <row r="244" spans="2:20">
      <c r="B244" s="386" t="s">
        <v>349</v>
      </c>
      <c r="C244" s="114"/>
      <c r="D244" s="111" t="s">
        <v>1547</v>
      </c>
      <c r="E244" s="111" t="s">
        <v>1631</v>
      </c>
      <c r="F244" s="111"/>
      <c r="G244" s="110" t="s">
        <v>2073</v>
      </c>
      <c r="H244" s="141">
        <v>666.57045100000005</v>
      </c>
      <c r="I244" s="280"/>
      <c r="J244" s="72">
        <v>148.52000000000001</v>
      </c>
      <c r="K244" s="271">
        <f t="shared" si="9"/>
        <v>98999.043382520016</v>
      </c>
      <c r="L244" s="111"/>
      <c r="M244" s="73"/>
      <c r="N244" s="112"/>
      <c r="O244" s="111"/>
      <c r="P244" s="312">
        <v>1664.80377</v>
      </c>
      <c r="Q244" s="288">
        <f t="shared" si="10"/>
        <v>295.19676664355461</v>
      </c>
      <c r="R244" s="118">
        <v>491444.69</v>
      </c>
      <c r="S244" s="283">
        <v>2016</v>
      </c>
      <c r="T244" s="288">
        <f t="shared" si="11"/>
        <v>640666</v>
      </c>
    </row>
    <row r="245" spans="2:20">
      <c r="B245" s="386" t="s">
        <v>350</v>
      </c>
      <c r="C245" s="114"/>
      <c r="D245" s="111" t="s">
        <v>1546</v>
      </c>
      <c r="E245" s="111" t="s">
        <v>1632</v>
      </c>
      <c r="F245" s="111"/>
      <c r="G245" s="110" t="s">
        <v>2073</v>
      </c>
      <c r="H245" s="141">
        <v>101.764421</v>
      </c>
      <c r="I245" s="280"/>
      <c r="J245" s="72">
        <v>148.52000000000001</v>
      </c>
      <c r="K245" s="271">
        <f t="shared" si="9"/>
        <v>15114.051806920001</v>
      </c>
      <c r="L245" s="111"/>
      <c r="M245" s="73"/>
      <c r="N245" s="112"/>
      <c r="O245" s="111"/>
      <c r="P245" s="312">
        <v>0</v>
      </c>
      <c r="Q245" s="288">
        <f t="shared" si="10"/>
        <v>0</v>
      </c>
      <c r="R245" s="118">
        <v>0</v>
      </c>
      <c r="S245" s="283">
        <v>2016</v>
      </c>
      <c r="T245" s="288">
        <f t="shared" si="11"/>
        <v>16377</v>
      </c>
    </row>
    <row r="246" spans="2:20">
      <c r="B246" s="386" t="s">
        <v>351</v>
      </c>
      <c r="C246" s="114"/>
      <c r="D246" s="111" t="s">
        <v>1547</v>
      </c>
      <c r="E246" s="111" t="s">
        <v>1633</v>
      </c>
      <c r="F246" s="111"/>
      <c r="G246" s="110" t="s">
        <v>2073</v>
      </c>
      <c r="H246" s="141">
        <v>361.734557</v>
      </c>
      <c r="I246" s="280"/>
      <c r="J246" s="72">
        <v>148.52000000000001</v>
      </c>
      <c r="K246" s="271">
        <f t="shared" si="9"/>
        <v>53724.816405640006</v>
      </c>
      <c r="L246" s="111"/>
      <c r="M246" s="73"/>
      <c r="N246" s="112"/>
      <c r="O246" s="111"/>
      <c r="P246" s="312">
        <v>0</v>
      </c>
      <c r="Q246" s="288">
        <f t="shared" si="10"/>
        <v>0</v>
      </c>
      <c r="R246" s="118">
        <v>0</v>
      </c>
      <c r="S246" s="283">
        <v>2016</v>
      </c>
      <c r="T246" s="288">
        <f t="shared" si="11"/>
        <v>58216</v>
      </c>
    </row>
    <row r="247" spans="2:20">
      <c r="B247" s="386" t="s">
        <v>352</v>
      </c>
      <c r="C247" s="114"/>
      <c r="D247" s="111" t="s">
        <v>1547</v>
      </c>
      <c r="E247" s="111" t="s">
        <v>1633</v>
      </c>
      <c r="F247" s="111"/>
      <c r="G247" s="110" t="s">
        <v>2073</v>
      </c>
      <c r="H247" s="141">
        <v>148.478621</v>
      </c>
      <c r="I247" s="280"/>
      <c r="J247" s="72">
        <v>148.52000000000001</v>
      </c>
      <c r="K247" s="271">
        <f t="shared" si="9"/>
        <v>22052.044790920001</v>
      </c>
      <c r="L247" s="111"/>
      <c r="M247" s="73"/>
      <c r="N247" s="112"/>
      <c r="O247" s="111"/>
      <c r="P247" s="312">
        <v>0</v>
      </c>
      <c r="Q247" s="288">
        <f t="shared" si="10"/>
        <v>0</v>
      </c>
      <c r="R247" s="118">
        <v>0</v>
      </c>
      <c r="S247" s="283">
        <v>2016</v>
      </c>
      <c r="T247" s="288">
        <f t="shared" si="11"/>
        <v>23895</v>
      </c>
    </row>
    <row r="248" spans="2:20">
      <c r="B248" s="386" t="s">
        <v>353</v>
      </c>
      <c r="C248" s="114"/>
      <c r="D248" s="111" t="s">
        <v>1547</v>
      </c>
      <c r="E248" s="111" t="s">
        <v>1634</v>
      </c>
      <c r="F248" s="111"/>
      <c r="G248" s="110" t="s">
        <v>2073</v>
      </c>
      <c r="H248" s="141">
        <v>378.10039799999998</v>
      </c>
      <c r="I248" s="280"/>
      <c r="J248" s="72">
        <v>148.52000000000001</v>
      </c>
      <c r="K248" s="271">
        <f t="shared" si="9"/>
        <v>56155.471110960003</v>
      </c>
      <c r="L248" s="111"/>
      <c r="M248" s="73"/>
      <c r="N248" s="112"/>
      <c r="O248" s="111"/>
      <c r="P248" s="312">
        <v>0</v>
      </c>
      <c r="Q248" s="288">
        <f t="shared" si="10"/>
        <v>0</v>
      </c>
      <c r="R248" s="118">
        <v>0</v>
      </c>
      <c r="S248" s="283">
        <v>2016</v>
      </c>
      <c r="T248" s="288">
        <f t="shared" si="11"/>
        <v>60849</v>
      </c>
    </row>
    <row r="249" spans="2:20">
      <c r="B249" s="386" t="s">
        <v>354</v>
      </c>
      <c r="C249" s="114"/>
      <c r="D249" s="111" t="s">
        <v>1547</v>
      </c>
      <c r="E249" s="111" t="s">
        <v>1634</v>
      </c>
      <c r="F249" s="111"/>
      <c r="G249" s="110" t="s">
        <v>2073</v>
      </c>
      <c r="H249" s="141">
        <v>123.371825</v>
      </c>
      <c r="I249" s="280"/>
      <c r="J249" s="72">
        <v>148.52000000000001</v>
      </c>
      <c r="K249" s="271">
        <f t="shared" si="9"/>
        <v>18323.183449</v>
      </c>
      <c r="L249" s="111"/>
      <c r="M249" s="73"/>
      <c r="N249" s="112"/>
      <c r="O249" s="111"/>
      <c r="P249" s="312">
        <v>0</v>
      </c>
      <c r="Q249" s="288">
        <f t="shared" si="10"/>
        <v>0</v>
      </c>
      <c r="R249" s="118">
        <v>0</v>
      </c>
      <c r="S249" s="283">
        <v>2016</v>
      </c>
      <c r="T249" s="288">
        <f t="shared" si="11"/>
        <v>19855</v>
      </c>
    </row>
    <row r="250" spans="2:20">
      <c r="B250" s="386" t="s">
        <v>355</v>
      </c>
      <c r="C250" s="114"/>
      <c r="D250" s="111" t="s">
        <v>1547</v>
      </c>
      <c r="E250" s="111" t="s">
        <v>1634</v>
      </c>
      <c r="F250" s="111"/>
      <c r="G250" s="110" t="s">
        <v>2073</v>
      </c>
      <c r="H250" s="141">
        <v>202.12965800000001</v>
      </c>
      <c r="I250" s="280"/>
      <c r="J250" s="72">
        <v>148.52000000000001</v>
      </c>
      <c r="K250" s="271">
        <f t="shared" si="9"/>
        <v>30020.296806160004</v>
      </c>
      <c r="L250" s="111"/>
      <c r="M250" s="73"/>
      <c r="N250" s="112"/>
      <c r="O250" s="111"/>
      <c r="P250" s="312">
        <v>0</v>
      </c>
      <c r="Q250" s="288">
        <f t="shared" si="10"/>
        <v>0</v>
      </c>
      <c r="R250" s="118">
        <v>0</v>
      </c>
      <c r="S250" s="283">
        <v>2016</v>
      </c>
      <c r="T250" s="288">
        <f t="shared" si="11"/>
        <v>32530</v>
      </c>
    </row>
    <row r="251" spans="2:20">
      <c r="B251" s="386" t="s">
        <v>356</v>
      </c>
      <c r="C251" s="114"/>
      <c r="D251" s="111" t="s">
        <v>1547</v>
      </c>
      <c r="E251" s="111" t="s">
        <v>1634</v>
      </c>
      <c r="F251" s="111"/>
      <c r="G251" s="110" t="s">
        <v>2073</v>
      </c>
      <c r="H251" s="141">
        <v>205.04450399999999</v>
      </c>
      <c r="I251" s="280"/>
      <c r="J251" s="72">
        <v>148.52000000000001</v>
      </c>
      <c r="K251" s="271">
        <f t="shared" si="9"/>
        <v>30453.209734079999</v>
      </c>
      <c r="L251" s="111"/>
      <c r="M251" s="73"/>
      <c r="N251" s="112"/>
      <c r="O251" s="111"/>
      <c r="P251" s="312">
        <v>0</v>
      </c>
      <c r="Q251" s="288">
        <f t="shared" si="10"/>
        <v>0</v>
      </c>
      <c r="R251" s="118">
        <v>0</v>
      </c>
      <c r="S251" s="283">
        <v>2016</v>
      </c>
      <c r="T251" s="288">
        <f t="shared" si="11"/>
        <v>32999</v>
      </c>
    </row>
    <row r="252" spans="2:20">
      <c r="B252" s="386" t="s">
        <v>357</v>
      </c>
      <c r="C252" s="114"/>
      <c r="D252" s="111" t="s">
        <v>1547</v>
      </c>
      <c r="E252" s="111" t="s">
        <v>1634</v>
      </c>
      <c r="F252" s="111"/>
      <c r="G252" s="110" t="s">
        <v>2073</v>
      </c>
      <c r="H252" s="141">
        <v>30.250074000000001</v>
      </c>
      <c r="I252" s="280"/>
      <c r="J252" s="72">
        <v>148.52000000000001</v>
      </c>
      <c r="K252" s="271">
        <f t="shared" si="9"/>
        <v>4492.7409904800006</v>
      </c>
      <c r="L252" s="111"/>
      <c r="M252" s="73"/>
      <c r="N252" s="112"/>
      <c r="O252" s="111"/>
      <c r="P252" s="312">
        <v>0</v>
      </c>
      <c r="Q252" s="288">
        <f t="shared" si="10"/>
        <v>0</v>
      </c>
      <c r="R252" s="118">
        <v>0</v>
      </c>
      <c r="S252" s="283">
        <v>2016</v>
      </c>
      <c r="T252" s="288">
        <f t="shared" si="11"/>
        <v>4868</v>
      </c>
    </row>
    <row r="253" spans="2:20">
      <c r="B253" s="386" t="s">
        <v>358</v>
      </c>
      <c r="C253" s="114"/>
      <c r="D253" s="111" t="s">
        <v>1547</v>
      </c>
      <c r="E253" s="111" t="s">
        <v>1634</v>
      </c>
      <c r="F253" s="111"/>
      <c r="G253" s="110" t="s">
        <v>2073</v>
      </c>
      <c r="H253" s="141">
        <v>104.744243</v>
      </c>
      <c r="I253" s="280"/>
      <c r="J253" s="72">
        <v>148.52000000000001</v>
      </c>
      <c r="K253" s="271">
        <f t="shared" si="9"/>
        <v>15556.61497036</v>
      </c>
      <c r="L253" s="111"/>
      <c r="M253" s="73"/>
      <c r="N253" s="112"/>
      <c r="O253" s="111"/>
      <c r="P253" s="312">
        <v>0</v>
      </c>
      <c r="Q253" s="288">
        <f t="shared" si="10"/>
        <v>0</v>
      </c>
      <c r="R253" s="118">
        <v>0</v>
      </c>
      <c r="S253" s="283">
        <v>2016</v>
      </c>
      <c r="T253" s="288">
        <f t="shared" si="11"/>
        <v>16857</v>
      </c>
    </row>
    <row r="254" spans="2:20">
      <c r="B254" s="386" t="s">
        <v>359</v>
      </c>
      <c r="C254" s="114"/>
      <c r="D254" s="111" t="s">
        <v>1547</v>
      </c>
      <c r="E254" s="111" t="s">
        <v>1634</v>
      </c>
      <c r="F254" s="111"/>
      <c r="G254" s="110" t="s">
        <v>2073</v>
      </c>
      <c r="H254" s="141">
        <v>106.524219</v>
      </c>
      <c r="I254" s="280"/>
      <c r="J254" s="72">
        <v>148.52000000000001</v>
      </c>
      <c r="K254" s="271">
        <f t="shared" si="9"/>
        <v>15820.977005880002</v>
      </c>
      <c r="L254" s="111"/>
      <c r="M254" s="73"/>
      <c r="N254" s="112"/>
      <c r="O254" s="111"/>
      <c r="P254" s="312">
        <v>0</v>
      </c>
      <c r="Q254" s="288">
        <f t="shared" si="10"/>
        <v>0</v>
      </c>
      <c r="R254" s="118">
        <v>0</v>
      </c>
      <c r="S254" s="283">
        <v>2016</v>
      </c>
      <c r="T254" s="288">
        <f t="shared" si="11"/>
        <v>17143</v>
      </c>
    </row>
    <row r="255" spans="2:20">
      <c r="B255" s="386" t="s">
        <v>360</v>
      </c>
      <c r="C255" s="114"/>
      <c r="D255" s="111" t="s">
        <v>1547</v>
      </c>
      <c r="E255" s="111" t="s">
        <v>1634</v>
      </c>
      <c r="F255" s="111"/>
      <c r="G255" s="110" t="s">
        <v>2073</v>
      </c>
      <c r="H255" s="141">
        <v>82.801006000000001</v>
      </c>
      <c r="I255" s="280"/>
      <c r="J255" s="72">
        <v>148.52000000000001</v>
      </c>
      <c r="K255" s="271">
        <f t="shared" si="9"/>
        <v>12297.605411120001</v>
      </c>
      <c r="L255" s="111"/>
      <c r="M255" s="73"/>
      <c r="N255" s="112"/>
      <c r="O255" s="111"/>
      <c r="P255" s="312">
        <v>0</v>
      </c>
      <c r="Q255" s="288">
        <f t="shared" si="10"/>
        <v>0</v>
      </c>
      <c r="R255" s="118">
        <v>0</v>
      </c>
      <c r="S255" s="283">
        <v>2016</v>
      </c>
      <c r="T255" s="288">
        <f t="shared" si="11"/>
        <v>13326</v>
      </c>
    </row>
    <row r="256" spans="2:20">
      <c r="B256" s="386" t="s">
        <v>361</v>
      </c>
      <c r="C256" s="114"/>
      <c r="D256" s="111" t="s">
        <v>1547</v>
      </c>
      <c r="E256" s="111" t="s">
        <v>1634</v>
      </c>
      <c r="F256" s="111"/>
      <c r="G256" s="110" t="s">
        <v>2073</v>
      </c>
      <c r="H256" s="141">
        <v>118.27619</v>
      </c>
      <c r="I256" s="280"/>
      <c r="J256" s="72">
        <v>148.52000000000001</v>
      </c>
      <c r="K256" s="271">
        <f t="shared" si="9"/>
        <v>17566.379738800002</v>
      </c>
      <c r="L256" s="111"/>
      <c r="M256" s="73"/>
      <c r="N256" s="112"/>
      <c r="O256" s="111"/>
      <c r="P256" s="312">
        <v>0</v>
      </c>
      <c r="Q256" s="288">
        <f t="shared" si="10"/>
        <v>0</v>
      </c>
      <c r="R256" s="118">
        <v>0</v>
      </c>
      <c r="S256" s="283">
        <v>2016</v>
      </c>
      <c r="T256" s="288">
        <f t="shared" si="11"/>
        <v>19035</v>
      </c>
    </row>
    <row r="257" spans="2:20">
      <c r="B257" s="386" t="s">
        <v>362</v>
      </c>
      <c r="C257" s="114"/>
      <c r="D257" s="111" t="s">
        <v>1547</v>
      </c>
      <c r="E257" s="111" t="s">
        <v>1634</v>
      </c>
      <c r="F257" s="111"/>
      <c r="G257" s="110" t="s">
        <v>2073</v>
      </c>
      <c r="H257" s="141">
        <v>84.141267999999997</v>
      </c>
      <c r="I257" s="280"/>
      <c r="J257" s="72">
        <v>148.52000000000001</v>
      </c>
      <c r="K257" s="271">
        <f t="shared" si="9"/>
        <v>12496.66112336</v>
      </c>
      <c r="L257" s="111"/>
      <c r="M257" s="73"/>
      <c r="N257" s="112"/>
      <c r="O257" s="111"/>
      <c r="P257" s="312">
        <v>0</v>
      </c>
      <c r="Q257" s="288">
        <f t="shared" si="10"/>
        <v>0</v>
      </c>
      <c r="R257" s="118">
        <v>0</v>
      </c>
      <c r="S257" s="283">
        <v>2016</v>
      </c>
      <c r="T257" s="288">
        <f t="shared" si="11"/>
        <v>13541</v>
      </c>
    </row>
    <row r="258" spans="2:20">
      <c r="B258" s="386" t="s">
        <v>363</v>
      </c>
      <c r="C258" s="114"/>
      <c r="D258" s="111" t="s">
        <v>1547</v>
      </c>
      <c r="E258" s="111" t="s">
        <v>1634</v>
      </c>
      <c r="F258" s="111"/>
      <c r="G258" s="110" t="s">
        <v>2073</v>
      </c>
      <c r="H258" s="141">
        <v>227.73782</v>
      </c>
      <c r="I258" s="280"/>
      <c r="J258" s="72">
        <v>148.52000000000001</v>
      </c>
      <c r="K258" s="271">
        <f t="shared" si="9"/>
        <v>33823.621026400004</v>
      </c>
      <c r="L258" s="111"/>
      <c r="M258" s="73"/>
      <c r="N258" s="112"/>
      <c r="O258" s="111"/>
      <c r="P258" s="312">
        <v>0</v>
      </c>
      <c r="Q258" s="288">
        <f t="shared" si="10"/>
        <v>0</v>
      </c>
      <c r="R258" s="118">
        <v>0</v>
      </c>
      <c r="S258" s="283">
        <v>2016</v>
      </c>
      <c r="T258" s="288">
        <f t="shared" si="11"/>
        <v>36651</v>
      </c>
    </row>
    <row r="259" spans="2:20">
      <c r="B259" s="386" t="s">
        <v>364</v>
      </c>
      <c r="C259" s="114"/>
      <c r="D259" s="111" t="s">
        <v>1547</v>
      </c>
      <c r="E259" s="111" t="s">
        <v>1635</v>
      </c>
      <c r="F259" s="111"/>
      <c r="G259" s="110" t="s">
        <v>2073</v>
      </c>
      <c r="H259" s="141">
        <v>66.143049000000005</v>
      </c>
      <c r="I259" s="280"/>
      <c r="J259" s="72">
        <v>148.52000000000001</v>
      </c>
      <c r="K259" s="271">
        <f t="shared" si="9"/>
        <v>9823.5656374800019</v>
      </c>
      <c r="L259" s="111"/>
      <c r="M259" s="73"/>
      <c r="N259" s="112"/>
      <c r="O259" s="111"/>
      <c r="P259" s="312">
        <v>0</v>
      </c>
      <c r="Q259" s="288">
        <f t="shared" si="10"/>
        <v>0</v>
      </c>
      <c r="R259" s="118">
        <v>0</v>
      </c>
      <c r="S259" s="283">
        <v>2016</v>
      </c>
      <c r="T259" s="288">
        <f t="shared" si="11"/>
        <v>10645</v>
      </c>
    </row>
    <row r="260" spans="2:20">
      <c r="B260" s="386" t="s">
        <v>365</v>
      </c>
      <c r="C260" s="114"/>
      <c r="D260" s="111" t="s">
        <v>1547</v>
      </c>
      <c r="E260" s="111" t="s">
        <v>1635</v>
      </c>
      <c r="F260" s="111"/>
      <c r="G260" s="110" t="s">
        <v>2073</v>
      </c>
      <c r="H260" s="141">
        <v>353.25145199999997</v>
      </c>
      <c r="I260" s="280"/>
      <c r="J260" s="72">
        <v>148.52000000000001</v>
      </c>
      <c r="K260" s="271">
        <f t="shared" si="9"/>
        <v>52464.905651039997</v>
      </c>
      <c r="L260" s="111"/>
      <c r="M260" s="73"/>
      <c r="N260" s="112"/>
      <c r="O260" s="111"/>
      <c r="P260" s="312">
        <v>0</v>
      </c>
      <c r="Q260" s="288">
        <f t="shared" si="10"/>
        <v>0</v>
      </c>
      <c r="R260" s="118">
        <v>0</v>
      </c>
      <c r="S260" s="283">
        <v>2016</v>
      </c>
      <c r="T260" s="288">
        <f t="shared" si="11"/>
        <v>56850</v>
      </c>
    </row>
    <row r="261" spans="2:20">
      <c r="B261" s="386" t="s">
        <v>366</v>
      </c>
      <c r="C261" s="114"/>
      <c r="D261" s="111" t="s">
        <v>1547</v>
      </c>
      <c r="E261" s="111" t="s">
        <v>1636</v>
      </c>
      <c r="F261" s="111"/>
      <c r="G261" s="110" t="s">
        <v>2073</v>
      </c>
      <c r="H261" s="141">
        <v>71.180971999999997</v>
      </c>
      <c r="I261" s="280"/>
      <c r="J261" s="72">
        <v>148.52000000000001</v>
      </c>
      <c r="K261" s="271">
        <f t="shared" si="9"/>
        <v>10571.797961440001</v>
      </c>
      <c r="L261" s="111"/>
      <c r="M261" s="73"/>
      <c r="N261" s="112"/>
      <c r="O261" s="111"/>
      <c r="P261" s="312">
        <v>630.75744999999995</v>
      </c>
      <c r="Q261" s="288">
        <f t="shared" si="10"/>
        <v>15.000000000000002</v>
      </c>
      <c r="R261" s="118">
        <v>9461.36175</v>
      </c>
      <c r="S261" s="283">
        <v>2016</v>
      </c>
      <c r="T261" s="288">
        <f t="shared" si="11"/>
        <v>21724</v>
      </c>
    </row>
    <row r="262" spans="2:20">
      <c r="B262" s="386" t="s">
        <v>367</v>
      </c>
      <c r="C262" s="114"/>
      <c r="D262" s="111" t="s">
        <v>1547</v>
      </c>
      <c r="E262" s="111" t="s">
        <v>1636</v>
      </c>
      <c r="F262" s="111"/>
      <c r="G262" s="110" t="s">
        <v>2073</v>
      </c>
      <c r="H262" s="141">
        <v>83.140469999999993</v>
      </c>
      <c r="I262" s="280"/>
      <c r="J262" s="72">
        <v>148.52000000000001</v>
      </c>
      <c r="K262" s="271">
        <f t="shared" si="9"/>
        <v>12348.022604399999</v>
      </c>
      <c r="L262" s="111"/>
      <c r="M262" s="73"/>
      <c r="N262" s="112"/>
      <c r="O262" s="111"/>
      <c r="P262" s="312">
        <v>0</v>
      </c>
      <c r="Q262" s="288">
        <f t="shared" si="10"/>
        <v>0</v>
      </c>
      <c r="R262" s="118">
        <v>0</v>
      </c>
      <c r="S262" s="283">
        <v>2016</v>
      </c>
      <c r="T262" s="288">
        <f t="shared" si="11"/>
        <v>13380</v>
      </c>
    </row>
    <row r="263" spans="2:20">
      <c r="B263" s="386" t="s">
        <v>368</v>
      </c>
      <c r="C263" s="114"/>
      <c r="D263" s="111" t="s">
        <v>1547</v>
      </c>
      <c r="E263" s="111" t="s">
        <v>1636</v>
      </c>
      <c r="F263" s="111"/>
      <c r="G263" s="110" t="s">
        <v>2073</v>
      </c>
      <c r="H263" s="141">
        <v>149.211029</v>
      </c>
      <c r="I263" s="280"/>
      <c r="J263" s="72">
        <v>148.52000000000001</v>
      </c>
      <c r="K263" s="271">
        <f t="shared" si="9"/>
        <v>22160.822027080001</v>
      </c>
      <c r="L263" s="111"/>
      <c r="M263" s="73"/>
      <c r="N263" s="112"/>
      <c r="O263" s="111"/>
      <c r="P263" s="312">
        <v>0</v>
      </c>
      <c r="Q263" s="288">
        <f t="shared" si="10"/>
        <v>0</v>
      </c>
      <c r="R263" s="118">
        <v>0</v>
      </c>
      <c r="S263" s="283">
        <v>2016</v>
      </c>
      <c r="T263" s="288">
        <f t="shared" si="11"/>
        <v>24013</v>
      </c>
    </row>
    <row r="264" spans="2:20">
      <c r="B264" s="386" t="s">
        <v>369</v>
      </c>
      <c r="C264" s="114"/>
      <c r="D264" s="111" t="s">
        <v>1547</v>
      </c>
      <c r="E264" s="111" t="s">
        <v>1636</v>
      </c>
      <c r="F264" s="111"/>
      <c r="G264" s="110" t="s">
        <v>2073</v>
      </c>
      <c r="H264" s="141">
        <v>89.373563000000004</v>
      </c>
      <c r="I264" s="280"/>
      <c r="J264" s="72">
        <v>148.52000000000001</v>
      </c>
      <c r="K264" s="271">
        <f t="shared" si="9"/>
        <v>13273.761576760002</v>
      </c>
      <c r="L264" s="111"/>
      <c r="M264" s="73"/>
      <c r="N264" s="112"/>
      <c r="O264" s="111"/>
      <c r="P264" s="312">
        <v>0</v>
      </c>
      <c r="Q264" s="288">
        <f t="shared" si="10"/>
        <v>0</v>
      </c>
      <c r="R264" s="118">
        <v>0</v>
      </c>
      <c r="S264" s="283">
        <v>2016</v>
      </c>
      <c r="T264" s="288">
        <f t="shared" si="11"/>
        <v>14383</v>
      </c>
    </row>
    <row r="265" spans="2:20">
      <c r="B265" s="386" t="s">
        <v>370</v>
      </c>
      <c r="C265" s="114"/>
      <c r="D265" s="111" t="s">
        <v>1547</v>
      </c>
      <c r="E265" s="111" t="s">
        <v>1636</v>
      </c>
      <c r="F265" s="111"/>
      <c r="G265" s="110" t="s">
        <v>2073</v>
      </c>
      <c r="H265" s="141">
        <v>73.507746999999995</v>
      </c>
      <c r="I265" s="280"/>
      <c r="J265" s="72">
        <v>148.52000000000001</v>
      </c>
      <c r="K265" s="271">
        <f t="shared" si="9"/>
        <v>10917.370584439999</v>
      </c>
      <c r="L265" s="111"/>
      <c r="M265" s="73"/>
      <c r="N265" s="112"/>
      <c r="O265" s="111"/>
      <c r="P265" s="312">
        <v>0</v>
      </c>
      <c r="Q265" s="288">
        <f t="shared" si="10"/>
        <v>0</v>
      </c>
      <c r="R265" s="118">
        <v>0</v>
      </c>
      <c r="S265" s="283">
        <v>2016</v>
      </c>
      <c r="T265" s="288">
        <f t="shared" si="11"/>
        <v>11830</v>
      </c>
    </row>
    <row r="266" spans="2:20">
      <c r="B266" s="386" t="s">
        <v>371</v>
      </c>
      <c r="C266" s="114"/>
      <c r="D266" s="111" t="s">
        <v>1547</v>
      </c>
      <c r="E266" s="111" t="s">
        <v>1637</v>
      </c>
      <c r="F266" s="111"/>
      <c r="G266" s="110" t="s">
        <v>2073</v>
      </c>
      <c r="H266" s="141">
        <v>82.985692999999998</v>
      </c>
      <c r="I266" s="280"/>
      <c r="J266" s="72">
        <v>148.52000000000001</v>
      </c>
      <c r="K266" s="271">
        <f t="shared" si="9"/>
        <v>12325.03512436</v>
      </c>
      <c r="L266" s="111"/>
      <c r="M266" s="73"/>
      <c r="N266" s="112"/>
      <c r="O266" s="111"/>
      <c r="P266" s="312">
        <v>126.919101</v>
      </c>
      <c r="Q266" s="288">
        <f t="shared" si="10"/>
        <v>15.000000039395175</v>
      </c>
      <c r="R266" s="118">
        <v>1903.7865200000001</v>
      </c>
      <c r="S266" s="283">
        <v>2016</v>
      </c>
      <c r="T266" s="288">
        <f t="shared" si="11"/>
        <v>15422</v>
      </c>
    </row>
    <row r="267" spans="2:20">
      <c r="B267" s="386" t="s">
        <v>372</v>
      </c>
      <c r="C267" s="114"/>
      <c r="D267" s="111" t="s">
        <v>1547</v>
      </c>
      <c r="E267" s="111" t="s">
        <v>1637</v>
      </c>
      <c r="F267" s="111"/>
      <c r="G267" s="110" t="s">
        <v>2073</v>
      </c>
      <c r="H267" s="141">
        <v>32.715000000000003</v>
      </c>
      <c r="I267" s="280"/>
      <c r="J267" s="72">
        <v>148.52000000000001</v>
      </c>
      <c r="K267" s="271">
        <f t="shared" si="9"/>
        <v>4858.8318000000008</v>
      </c>
      <c r="L267" s="111"/>
      <c r="M267" s="73"/>
      <c r="N267" s="112"/>
      <c r="O267" s="111"/>
      <c r="P267" s="312">
        <v>0</v>
      </c>
      <c r="Q267" s="288">
        <f t="shared" si="10"/>
        <v>0</v>
      </c>
      <c r="R267" s="118">
        <v>0</v>
      </c>
      <c r="S267" s="283">
        <v>2016</v>
      </c>
      <c r="T267" s="288">
        <f t="shared" si="11"/>
        <v>5265</v>
      </c>
    </row>
    <row r="268" spans="2:20">
      <c r="B268" s="386" t="s">
        <v>373</v>
      </c>
      <c r="C268" s="114"/>
      <c r="D268" s="111" t="s">
        <v>1547</v>
      </c>
      <c r="E268" s="111" t="s">
        <v>1637</v>
      </c>
      <c r="F268" s="111"/>
      <c r="G268" s="110" t="s">
        <v>2073</v>
      </c>
      <c r="H268" s="141">
        <v>28.794298999999999</v>
      </c>
      <c r="I268" s="280"/>
      <c r="J268" s="72">
        <v>148.52000000000001</v>
      </c>
      <c r="K268" s="271">
        <f t="shared" ref="K268:K328" si="12">J268*H268</f>
        <v>4276.5292874799998</v>
      </c>
      <c r="L268" s="111"/>
      <c r="M268" s="73"/>
      <c r="N268" s="112"/>
      <c r="O268" s="111"/>
      <c r="P268" s="312">
        <v>0</v>
      </c>
      <c r="Q268" s="288">
        <f t="shared" ref="Q268:Q328" si="13">IFERROR(R268/P268,0)</f>
        <v>0</v>
      </c>
      <c r="R268" s="118">
        <v>0</v>
      </c>
      <c r="S268" s="283">
        <v>2016</v>
      </c>
      <c r="T268" s="288">
        <f t="shared" si="11"/>
        <v>4634</v>
      </c>
    </row>
    <row r="269" spans="2:20">
      <c r="B269" s="386" t="s">
        <v>374</v>
      </c>
      <c r="C269" s="114"/>
      <c r="D269" s="111" t="s">
        <v>1547</v>
      </c>
      <c r="E269" s="111" t="s">
        <v>1638</v>
      </c>
      <c r="F269" s="111"/>
      <c r="G269" s="110" t="s">
        <v>2073</v>
      </c>
      <c r="H269" s="141">
        <v>73.988564999999994</v>
      </c>
      <c r="I269" s="280"/>
      <c r="J269" s="72">
        <v>148.52000000000001</v>
      </c>
      <c r="K269" s="271">
        <f t="shared" si="12"/>
        <v>10988.7816738</v>
      </c>
      <c r="L269" s="111"/>
      <c r="M269" s="73"/>
      <c r="N269" s="112"/>
      <c r="O269" s="111"/>
      <c r="P269" s="312">
        <v>0</v>
      </c>
      <c r="Q269" s="288">
        <f t="shared" si="13"/>
        <v>0</v>
      </c>
      <c r="R269" s="118">
        <v>0</v>
      </c>
      <c r="S269" s="283">
        <v>2016</v>
      </c>
      <c r="T269" s="288">
        <f t="shared" ref="T269:T332" si="14">IFERROR(ROUND((K269*(1+PPI_Existing)^(YEAR-S269))+(R269*((1+LandInd_Existing)^(YEAR-S269))),0),0)</f>
        <v>11907</v>
      </c>
    </row>
    <row r="270" spans="2:20">
      <c r="B270" s="386" t="s">
        <v>375</v>
      </c>
      <c r="C270" s="114"/>
      <c r="D270" s="111" t="s">
        <v>1547</v>
      </c>
      <c r="E270" s="111" t="s">
        <v>1638</v>
      </c>
      <c r="F270" s="111"/>
      <c r="G270" s="110" t="s">
        <v>2073</v>
      </c>
      <c r="H270" s="141">
        <v>65.763210000000001</v>
      </c>
      <c r="I270" s="280"/>
      <c r="J270" s="72">
        <v>148.52000000000001</v>
      </c>
      <c r="K270" s="271">
        <f t="shared" si="12"/>
        <v>9767.1519492000007</v>
      </c>
      <c r="L270" s="111"/>
      <c r="M270" s="73"/>
      <c r="N270" s="112"/>
      <c r="O270" s="111"/>
      <c r="P270" s="312">
        <v>0</v>
      </c>
      <c r="Q270" s="288">
        <f t="shared" si="13"/>
        <v>0</v>
      </c>
      <c r="R270" s="118">
        <v>0</v>
      </c>
      <c r="S270" s="283">
        <v>2016</v>
      </c>
      <c r="T270" s="288">
        <f t="shared" si="14"/>
        <v>10584</v>
      </c>
    </row>
    <row r="271" spans="2:20">
      <c r="B271" s="386" t="s">
        <v>376</v>
      </c>
      <c r="C271" s="114"/>
      <c r="D271" s="111" t="s">
        <v>1547</v>
      </c>
      <c r="E271" s="111" t="s">
        <v>1638</v>
      </c>
      <c r="F271" s="111"/>
      <c r="G271" s="110" t="s">
        <v>2073</v>
      </c>
      <c r="H271" s="141">
        <v>39.901046999999998</v>
      </c>
      <c r="I271" s="280"/>
      <c r="J271" s="72">
        <v>148.52000000000001</v>
      </c>
      <c r="K271" s="271">
        <f t="shared" si="12"/>
        <v>5926.1035004400001</v>
      </c>
      <c r="L271" s="111"/>
      <c r="M271" s="73"/>
      <c r="N271" s="112"/>
      <c r="O271" s="111"/>
      <c r="P271" s="312">
        <v>0</v>
      </c>
      <c r="Q271" s="288">
        <f t="shared" si="13"/>
        <v>0</v>
      </c>
      <c r="R271" s="118">
        <v>0</v>
      </c>
      <c r="S271" s="283">
        <v>2016</v>
      </c>
      <c r="T271" s="288">
        <f t="shared" si="14"/>
        <v>6421</v>
      </c>
    </row>
    <row r="272" spans="2:20">
      <c r="B272" s="386" t="s">
        <v>377</v>
      </c>
      <c r="C272" s="114"/>
      <c r="D272" s="111" t="s">
        <v>1547</v>
      </c>
      <c r="E272" s="111" t="s">
        <v>1639</v>
      </c>
      <c r="F272" s="111"/>
      <c r="G272" s="110" t="s">
        <v>2073</v>
      </c>
      <c r="H272" s="141">
        <v>169.69379799999999</v>
      </c>
      <c r="I272" s="280"/>
      <c r="J272" s="72">
        <v>148.52000000000001</v>
      </c>
      <c r="K272" s="271">
        <f t="shared" si="12"/>
        <v>25202.922878959998</v>
      </c>
      <c r="L272" s="111"/>
      <c r="M272" s="73"/>
      <c r="N272" s="112"/>
      <c r="O272" s="111"/>
      <c r="P272" s="312">
        <v>0</v>
      </c>
      <c r="Q272" s="288">
        <f t="shared" si="13"/>
        <v>0</v>
      </c>
      <c r="R272" s="118">
        <v>0</v>
      </c>
      <c r="S272" s="283">
        <v>2016</v>
      </c>
      <c r="T272" s="288">
        <f t="shared" si="14"/>
        <v>27310</v>
      </c>
    </row>
    <row r="273" spans="2:20">
      <c r="B273" s="386" t="s">
        <v>378</v>
      </c>
      <c r="C273" s="114"/>
      <c r="D273" s="111" t="s">
        <v>1547</v>
      </c>
      <c r="E273" s="111" t="s">
        <v>1639</v>
      </c>
      <c r="F273" s="111"/>
      <c r="G273" s="110" t="s">
        <v>2073</v>
      </c>
      <c r="H273" s="141">
        <v>20.602032000000001</v>
      </c>
      <c r="I273" s="280"/>
      <c r="J273" s="72">
        <v>148.52000000000001</v>
      </c>
      <c r="K273" s="271">
        <f t="shared" si="12"/>
        <v>3059.8137926400004</v>
      </c>
      <c r="L273" s="111"/>
      <c r="M273" s="73"/>
      <c r="N273" s="112"/>
      <c r="O273" s="111"/>
      <c r="P273" s="312">
        <v>0</v>
      </c>
      <c r="Q273" s="288">
        <f t="shared" si="13"/>
        <v>0</v>
      </c>
      <c r="R273" s="118">
        <v>0</v>
      </c>
      <c r="S273" s="283">
        <v>2016</v>
      </c>
      <c r="T273" s="288">
        <f t="shared" si="14"/>
        <v>3316</v>
      </c>
    </row>
    <row r="274" spans="2:20">
      <c r="B274" s="386" t="s">
        <v>379</v>
      </c>
      <c r="C274" s="114"/>
      <c r="D274" s="111" t="s">
        <v>1547</v>
      </c>
      <c r="E274" s="111" t="s">
        <v>1639</v>
      </c>
      <c r="F274" s="111"/>
      <c r="G274" s="110" t="s">
        <v>2073</v>
      </c>
      <c r="H274" s="141">
        <v>11.030201999999999</v>
      </c>
      <c r="I274" s="280"/>
      <c r="J274" s="72">
        <v>148.52000000000001</v>
      </c>
      <c r="K274" s="271">
        <f t="shared" si="12"/>
        <v>1638.2056010399999</v>
      </c>
      <c r="L274" s="111"/>
      <c r="M274" s="73"/>
      <c r="N274" s="112"/>
      <c r="O274" s="111"/>
      <c r="P274" s="312">
        <v>0</v>
      </c>
      <c r="Q274" s="288">
        <f t="shared" si="13"/>
        <v>0</v>
      </c>
      <c r="R274" s="118">
        <v>0</v>
      </c>
      <c r="S274" s="283">
        <v>2016</v>
      </c>
      <c r="T274" s="288">
        <f t="shared" si="14"/>
        <v>1775</v>
      </c>
    </row>
    <row r="275" spans="2:20">
      <c r="B275" s="386" t="s">
        <v>380</v>
      </c>
      <c r="C275" s="114"/>
      <c r="D275" s="111" t="s">
        <v>1547</v>
      </c>
      <c r="E275" s="111" t="s">
        <v>1639</v>
      </c>
      <c r="F275" s="111"/>
      <c r="G275" s="110" t="s">
        <v>2073</v>
      </c>
      <c r="H275" s="141">
        <v>18.378140999999999</v>
      </c>
      <c r="I275" s="280"/>
      <c r="J275" s="72">
        <v>148.52000000000001</v>
      </c>
      <c r="K275" s="271">
        <f t="shared" si="12"/>
        <v>2729.52150132</v>
      </c>
      <c r="L275" s="111"/>
      <c r="M275" s="73"/>
      <c r="N275" s="112"/>
      <c r="O275" s="111"/>
      <c r="P275" s="312">
        <v>0</v>
      </c>
      <c r="Q275" s="288">
        <f t="shared" si="13"/>
        <v>0</v>
      </c>
      <c r="R275" s="118">
        <v>0</v>
      </c>
      <c r="S275" s="283">
        <v>2016</v>
      </c>
      <c r="T275" s="288">
        <f t="shared" si="14"/>
        <v>2958</v>
      </c>
    </row>
    <row r="276" spans="2:20">
      <c r="B276" s="386" t="s">
        <v>381</v>
      </c>
      <c r="C276" s="114"/>
      <c r="D276" s="111" t="s">
        <v>1547</v>
      </c>
      <c r="E276" s="111" t="s">
        <v>1639</v>
      </c>
      <c r="F276" s="111"/>
      <c r="G276" s="110" t="s">
        <v>2073</v>
      </c>
      <c r="H276" s="141">
        <v>42.230344000000002</v>
      </c>
      <c r="I276" s="280"/>
      <c r="J276" s="72">
        <v>148.52000000000001</v>
      </c>
      <c r="K276" s="271">
        <f t="shared" si="12"/>
        <v>6272.0506908800007</v>
      </c>
      <c r="L276" s="111"/>
      <c r="M276" s="73"/>
      <c r="N276" s="112"/>
      <c r="O276" s="111"/>
      <c r="P276" s="312">
        <v>0</v>
      </c>
      <c r="Q276" s="288">
        <f t="shared" si="13"/>
        <v>0</v>
      </c>
      <c r="R276" s="118">
        <v>0</v>
      </c>
      <c r="S276" s="283">
        <v>2016</v>
      </c>
      <c r="T276" s="288">
        <f t="shared" si="14"/>
        <v>6796</v>
      </c>
    </row>
    <row r="277" spans="2:20">
      <c r="B277" s="386" t="s">
        <v>382</v>
      </c>
      <c r="C277" s="114"/>
      <c r="D277" s="111" t="s">
        <v>1547</v>
      </c>
      <c r="E277" s="111" t="s">
        <v>1640</v>
      </c>
      <c r="F277" s="111"/>
      <c r="G277" s="110" t="s">
        <v>2073</v>
      </c>
      <c r="H277" s="141">
        <v>124.550068</v>
      </c>
      <c r="I277" s="280"/>
      <c r="J277" s="72">
        <v>148.52000000000001</v>
      </c>
      <c r="K277" s="271">
        <f t="shared" si="12"/>
        <v>18498.17609936</v>
      </c>
      <c r="L277" s="111"/>
      <c r="M277" s="73"/>
      <c r="N277" s="112"/>
      <c r="O277" s="111"/>
      <c r="P277" s="312">
        <v>0</v>
      </c>
      <c r="Q277" s="288">
        <f t="shared" si="13"/>
        <v>0</v>
      </c>
      <c r="R277" s="118">
        <v>0</v>
      </c>
      <c r="S277" s="283">
        <v>2016</v>
      </c>
      <c r="T277" s="288">
        <f t="shared" si="14"/>
        <v>20044</v>
      </c>
    </row>
    <row r="278" spans="2:20">
      <c r="B278" s="386" t="s">
        <v>383</v>
      </c>
      <c r="C278" s="114"/>
      <c r="D278" s="111" t="s">
        <v>1547</v>
      </c>
      <c r="E278" s="111" t="s">
        <v>1640</v>
      </c>
      <c r="F278" s="111"/>
      <c r="G278" s="110" t="s">
        <v>2073</v>
      </c>
      <c r="H278" s="141">
        <v>20.145783999999999</v>
      </c>
      <c r="I278" s="280"/>
      <c r="J278" s="72">
        <v>148.52000000000001</v>
      </c>
      <c r="K278" s="271">
        <f t="shared" si="12"/>
        <v>2992.0518396800003</v>
      </c>
      <c r="L278" s="111"/>
      <c r="M278" s="73"/>
      <c r="N278" s="112"/>
      <c r="O278" s="111"/>
      <c r="P278" s="312">
        <v>0</v>
      </c>
      <c r="Q278" s="288">
        <f t="shared" si="13"/>
        <v>0</v>
      </c>
      <c r="R278" s="118">
        <v>0</v>
      </c>
      <c r="S278" s="283">
        <v>2016</v>
      </c>
      <c r="T278" s="288">
        <f t="shared" si="14"/>
        <v>3242</v>
      </c>
    </row>
    <row r="279" spans="2:20">
      <c r="B279" s="386" t="s">
        <v>384</v>
      </c>
      <c r="C279" s="114"/>
      <c r="D279" s="111" t="s">
        <v>1547</v>
      </c>
      <c r="E279" s="111" t="s">
        <v>1640</v>
      </c>
      <c r="F279" s="111"/>
      <c r="G279" s="110" t="s">
        <v>2073</v>
      </c>
      <c r="H279" s="141">
        <v>17.02289</v>
      </c>
      <c r="I279" s="280"/>
      <c r="J279" s="72">
        <v>148.52000000000001</v>
      </c>
      <c r="K279" s="271">
        <f t="shared" si="12"/>
        <v>2528.2396228000002</v>
      </c>
      <c r="L279" s="111"/>
      <c r="M279" s="73"/>
      <c r="N279" s="112"/>
      <c r="O279" s="111"/>
      <c r="P279" s="312">
        <v>0</v>
      </c>
      <c r="Q279" s="288">
        <f t="shared" si="13"/>
        <v>0</v>
      </c>
      <c r="R279" s="118">
        <v>0</v>
      </c>
      <c r="S279" s="283">
        <v>2016</v>
      </c>
      <c r="T279" s="288">
        <f t="shared" si="14"/>
        <v>2740</v>
      </c>
    </row>
    <row r="280" spans="2:20">
      <c r="B280" s="386" t="s">
        <v>385</v>
      </c>
      <c r="C280" s="114"/>
      <c r="D280" s="111" t="s">
        <v>1547</v>
      </c>
      <c r="E280" s="111" t="s">
        <v>1640</v>
      </c>
      <c r="F280" s="111"/>
      <c r="G280" s="110" t="s">
        <v>2073</v>
      </c>
      <c r="H280" s="141">
        <v>7.7141760000000001</v>
      </c>
      <c r="I280" s="280"/>
      <c r="J280" s="72">
        <v>148.52000000000001</v>
      </c>
      <c r="K280" s="271">
        <f t="shared" si="12"/>
        <v>1145.7094195200002</v>
      </c>
      <c r="L280" s="111"/>
      <c r="M280" s="73"/>
      <c r="N280" s="112"/>
      <c r="O280" s="111"/>
      <c r="P280" s="312">
        <v>0</v>
      </c>
      <c r="Q280" s="288">
        <f t="shared" si="13"/>
        <v>0</v>
      </c>
      <c r="R280" s="118">
        <v>0</v>
      </c>
      <c r="S280" s="283">
        <v>2016</v>
      </c>
      <c r="T280" s="288">
        <f t="shared" si="14"/>
        <v>1241</v>
      </c>
    </row>
    <row r="281" spans="2:20">
      <c r="B281" s="386" t="s">
        <v>386</v>
      </c>
      <c r="C281" s="114"/>
      <c r="D281" s="111" t="s">
        <v>1547</v>
      </c>
      <c r="E281" s="111" t="s">
        <v>1641</v>
      </c>
      <c r="F281" s="111"/>
      <c r="G281" s="110" t="s">
        <v>2073</v>
      </c>
      <c r="H281" s="141">
        <v>405.09608200000002</v>
      </c>
      <c r="I281" s="280"/>
      <c r="J281" s="72">
        <v>148.52000000000001</v>
      </c>
      <c r="K281" s="271">
        <f t="shared" si="12"/>
        <v>60164.870098640007</v>
      </c>
      <c r="L281" s="111"/>
      <c r="M281" s="73"/>
      <c r="N281" s="112"/>
      <c r="O281" s="111"/>
      <c r="P281" s="312">
        <v>107.12070300000001</v>
      </c>
      <c r="Q281" s="288">
        <f t="shared" si="13"/>
        <v>15.000000046676316</v>
      </c>
      <c r="R281" s="118">
        <v>1606.8105499999999</v>
      </c>
      <c r="S281" s="283">
        <v>2016</v>
      </c>
      <c r="T281" s="288">
        <f t="shared" si="14"/>
        <v>66938</v>
      </c>
    </row>
    <row r="282" spans="2:20">
      <c r="B282" s="386" t="s">
        <v>387</v>
      </c>
      <c r="C282" s="114"/>
      <c r="D282" s="111" t="s">
        <v>1547</v>
      </c>
      <c r="E282" s="111" t="s">
        <v>1642</v>
      </c>
      <c r="F282" s="111"/>
      <c r="G282" s="110" t="s">
        <v>2073</v>
      </c>
      <c r="H282" s="141">
        <v>859.69904199999996</v>
      </c>
      <c r="I282" s="280"/>
      <c r="J282" s="72">
        <v>148.52000000000001</v>
      </c>
      <c r="K282" s="271">
        <f t="shared" si="12"/>
        <v>127682.50171784</v>
      </c>
      <c r="L282" s="111"/>
      <c r="M282" s="73"/>
      <c r="N282" s="112"/>
      <c r="O282" s="111"/>
      <c r="P282" s="312">
        <v>1680.12201</v>
      </c>
      <c r="Q282" s="288">
        <f t="shared" si="13"/>
        <v>15.000000029759743</v>
      </c>
      <c r="R282" s="118">
        <v>25201.8302</v>
      </c>
      <c r="S282" s="283">
        <v>2016</v>
      </c>
      <c r="T282" s="288">
        <f t="shared" si="14"/>
        <v>165708</v>
      </c>
    </row>
    <row r="283" spans="2:20">
      <c r="B283" s="386" t="s">
        <v>388</v>
      </c>
      <c r="C283" s="114"/>
      <c r="D283" s="111" t="s">
        <v>1547</v>
      </c>
      <c r="E283" s="111" t="s">
        <v>1642</v>
      </c>
      <c r="F283" s="111"/>
      <c r="G283" s="110" t="s">
        <v>2073</v>
      </c>
      <c r="H283" s="141">
        <v>16.110903</v>
      </c>
      <c r="I283" s="280"/>
      <c r="J283" s="72">
        <v>148.52000000000001</v>
      </c>
      <c r="K283" s="271">
        <f t="shared" si="12"/>
        <v>2392.7913135600002</v>
      </c>
      <c r="L283" s="111"/>
      <c r="M283" s="73"/>
      <c r="N283" s="112"/>
      <c r="O283" s="111"/>
      <c r="P283" s="312">
        <v>0</v>
      </c>
      <c r="Q283" s="288">
        <f t="shared" si="13"/>
        <v>0</v>
      </c>
      <c r="R283" s="118">
        <v>0</v>
      </c>
      <c r="S283" s="283">
        <v>2016</v>
      </c>
      <c r="T283" s="288">
        <f t="shared" si="14"/>
        <v>2593</v>
      </c>
    </row>
    <row r="284" spans="2:20">
      <c r="B284" s="386" t="s">
        <v>389</v>
      </c>
      <c r="C284" s="114"/>
      <c r="D284" s="111" t="s">
        <v>1547</v>
      </c>
      <c r="E284" s="111" t="s">
        <v>1643</v>
      </c>
      <c r="F284" s="111"/>
      <c r="G284" s="110" t="s">
        <v>2073</v>
      </c>
      <c r="H284" s="141">
        <v>167.65788499999999</v>
      </c>
      <c r="I284" s="280"/>
      <c r="J284" s="72">
        <v>148.52000000000001</v>
      </c>
      <c r="K284" s="271">
        <f t="shared" si="12"/>
        <v>24900.549080200002</v>
      </c>
      <c r="L284" s="111"/>
      <c r="M284" s="73"/>
      <c r="N284" s="112"/>
      <c r="O284" s="111"/>
      <c r="P284" s="312">
        <v>0</v>
      </c>
      <c r="Q284" s="288">
        <f t="shared" si="13"/>
        <v>0</v>
      </c>
      <c r="R284" s="118">
        <v>0</v>
      </c>
      <c r="S284" s="283">
        <v>2016</v>
      </c>
      <c r="T284" s="288">
        <f t="shared" si="14"/>
        <v>26982</v>
      </c>
    </row>
    <row r="285" spans="2:20">
      <c r="B285" s="386" t="s">
        <v>390</v>
      </c>
      <c r="C285" s="114"/>
      <c r="D285" s="111" t="s">
        <v>1547</v>
      </c>
      <c r="E285" s="111" t="s">
        <v>1643</v>
      </c>
      <c r="F285" s="111"/>
      <c r="G285" s="110" t="s">
        <v>2073</v>
      </c>
      <c r="H285" s="141">
        <v>22.787765</v>
      </c>
      <c r="I285" s="280"/>
      <c r="J285" s="72">
        <v>148.52000000000001</v>
      </c>
      <c r="K285" s="271">
        <f t="shared" si="12"/>
        <v>3384.4388578000003</v>
      </c>
      <c r="L285" s="111"/>
      <c r="M285" s="73"/>
      <c r="N285" s="112"/>
      <c r="O285" s="111"/>
      <c r="P285" s="312">
        <v>0</v>
      </c>
      <c r="Q285" s="288">
        <f t="shared" si="13"/>
        <v>0</v>
      </c>
      <c r="R285" s="118">
        <v>0</v>
      </c>
      <c r="S285" s="283">
        <v>2016</v>
      </c>
      <c r="T285" s="288">
        <f t="shared" si="14"/>
        <v>3667</v>
      </c>
    </row>
    <row r="286" spans="2:20">
      <c r="B286" s="386" t="s">
        <v>391</v>
      </c>
      <c r="C286" s="114"/>
      <c r="D286" s="111" t="s">
        <v>1547</v>
      </c>
      <c r="E286" s="111" t="s">
        <v>1643</v>
      </c>
      <c r="F286" s="111"/>
      <c r="G286" s="110" t="s">
        <v>2073</v>
      </c>
      <c r="H286" s="141">
        <v>16.528414999999999</v>
      </c>
      <c r="I286" s="280"/>
      <c r="J286" s="72">
        <v>148.52000000000001</v>
      </c>
      <c r="K286" s="271">
        <f t="shared" si="12"/>
        <v>2454.8001958</v>
      </c>
      <c r="L286" s="111"/>
      <c r="M286" s="73"/>
      <c r="N286" s="112"/>
      <c r="O286" s="111"/>
      <c r="P286" s="312">
        <v>0</v>
      </c>
      <c r="Q286" s="288">
        <f t="shared" si="13"/>
        <v>0</v>
      </c>
      <c r="R286" s="118">
        <v>0</v>
      </c>
      <c r="S286" s="283">
        <v>2016</v>
      </c>
      <c r="T286" s="288">
        <f t="shared" si="14"/>
        <v>2660</v>
      </c>
    </row>
    <row r="287" spans="2:20">
      <c r="B287" s="386" t="s">
        <v>392</v>
      </c>
      <c r="C287" s="114"/>
      <c r="D287" s="111" t="s">
        <v>1547</v>
      </c>
      <c r="E287" s="111" t="s">
        <v>1644</v>
      </c>
      <c r="F287" s="111"/>
      <c r="G287" s="110" t="s">
        <v>2073</v>
      </c>
      <c r="H287" s="141">
        <v>109.485928</v>
      </c>
      <c r="I287" s="280"/>
      <c r="J287" s="72">
        <v>148.52000000000001</v>
      </c>
      <c r="K287" s="271">
        <f t="shared" si="12"/>
        <v>16260.850026560001</v>
      </c>
      <c r="L287" s="111"/>
      <c r="M287" s="73"/>
      <c r="N287" s="112"/>
      <c r="O287" s="111"/>
      <c r="P287" s="312">
        <v>241.02801400000001</v>
      </c>
      <c r="Q287" s="288">
        <f t="shared" si="13"/>
        <v>15</v>
      </c>
      <c r="R287" s="118">
        <v>3615.4202100000002</v>
      </c>
      <c r="S287" s="283">
        <v>2016</v>
      </c>
      <c r="T287" s="288">
        <f t="shared" si="14"/>
        <v>21544</v>
      </c>
    </row>
    <row r="288" spans="2:20">
      <c r="B288" s="386" t="s">
        <v>393</v>
      </c>
      <c r="C288" s="114"/>
      <c r="D288" s="111" t="s">
        <v>1547</v>
      </c>
      <c r="E288" s="111" t="s">
        <v>1645</v>
      </c>
      <c r="F288" s="111"/>
      <c r="G288" s="110" t="s">
        <v>2073</v>
      </c>
      <c r="H288" s="141">
        <v>25.181115999999999</v>
      </c>
      <c r="I288" s="280"/>
      <c r="J288" s="72">
        <v>148.52000000000001</v>
      </c>
      <c r="K288" s="271">
        <f t="shared" si="12"/>
        <v>3739.8993483200002</v>
      </c>
      <c r="L288" s="111"/>
      <c r="M288" s="73"/>
      <c r="N288" s="112"/>
      <c r="O288" s="111"/>
      <c r="P288" s="312">
        <v>0</v>
      </c>
      <c r="Q288" s="288">
        <f t="shared" si="13"/>
        <v>0</v>
      </c>
      <c r="R288" s="118">
        <v>0</v>
      </c>
      <c r="S288" s="283">
        <v>2016</v>
      </c>
      <c r="T288" s="288">
        <f t="shared" si="14"/>
        <v>4053</v>
      </c>
    </row>
    <row r="289" spans="2:20">
      <c r="B289" s="386" t="s">
        <v>394</v>
      </c>
      <c r="C289" s="114"/>
      <c r="D289" s="111" t="s">
        <v>1547</v>
      </c>
      <c r="E289" s="111" t="s">
        <v>1645</v>
      </c>
      <c r="F289" s="111"/>
      <c r="G289" s="110" t="s">
        <v>2073</v>
      </c>
      <c r="H289" s="141">
        <v>797.19748200000004</v>
      </c>
      <c r="I289" s="280"/>
      <c r="J289" s="72">
        <v>148.52000000000001</v>
      </c>
      <c r="K289" s="271">
        <f t="shared" si="12"/>
        <v>118399.77002664002</v>
      </c>
      <c r="L289" s="111"/>
      <c r="M289" s="73"/>
      <c r="N289" s="112"/>
      <c r="O289" s="111"/>
      <c r="P289" s="312">
        <v>0</v>
      </c>
      <c r="Q289" s="288">
        <f t="shared" si="13"/>
        <v>0</v>
      </c>
      <c r="R289" s="118">
        <v>0</v>
      </c>
      <c r="S289" s="283">
        <v>2016</v>
      </c>
      <c r="T289" s="288">
        <f t="shared" si="14"/>
        <v>128297</v>
      </c>
    </row>
    <row r="290" spans="2:20">
      <c r="B290" s="386" t="s">
        <v>395</v>
      </c>
      <c r="C290" s="114"/>
      <c r="D290" s="111" t="s">
        <v>1547</v>
      </c>
      <c r="E290" s="111" t="s">
        <v>1645</v>
      </c>
      <c r="F290" s="111"/>
      <c r="G290" s="110" t="s">
        <v>2073</v>
      </c>
      <c r="H290" s="141">
        <v>608.66649700000005</v>
      </c>
      <c r="I290" s="280"/>
      <c r="J290" s="72">
        <v>148.52000000000001</v>
      </c>
      <c r="K290" s="271">
        <f t="shared" si="12"/>
        <v>90399.148134440009</v>
      </c>
      <c r="L290" s="111"/>
      <c r="M290" s="73"/>
      <c r="N290" s="112"/>
      <c r="O290" s="111"/>
      <c r="P290" s="312">
        <v>0</v>
      </c>
      <c r="Q290" s="288">
        <f t="shared" si="13"/>
        <v>0</v>
      </c>
      <c r="R290" s="118">
        <v>0</v>
      </c>
      <c r="S290" s="283">
        <v>2016</v>
      </c>
      <c r="T290" s="288">
        <f t="shared" si="14"/>
        <v>97956</v>
      </c>
    </row>
    <row r="291" spans="2:20">
      <c r="B291" s="386" t="s">
        <v>396</v>
      </c>
      <c r="C291" s="114"/>
      <c r="D291" s="111" t="s">
        <v>1547</v>
      </c>
      <c r="E291" s="111" t="s">
        <v>1646</v>
      </c>
      <c r="F291" s="111"/>
      <c r="G291" s="110" t="s">
        <v>2073</v>
      </c>
      <c r="H291" s="141">
        <v>23.412208</v>
      </c>
      <c r="I291" s="280"/>
      <c r="J291" s="72">
        <v>148.52000000000001</v>
      </c>
      <c r="K291" s="271">
        <f t="shared" si="12"/>
        <v>3477.1811321600003</v>
      </c>
      <c r="L291" s="111"/>
      <c r="M291" s="73"/>
      <c r="N291" s="112"/>
      <c r="O291" s="111"/>
      <c r="P291" s="312">
        <v>0</v>
      </c>
      <c r="Q291" s="288">
        <f t="shared" si="13"/>
        <v>0</v>
      </c>
      <c r="R291" s="118">
        <v>0</v>
      </c>
      <c r="S291" s="283">
        <v>2016</v>
      </c>
      <c r="T291" s="288">
        <f t="shared" si="14"/>
        <v>3768</v>
      </c>
    </row>
    <row r="292" spans="2:20">
      <c r="B292" s="386" t="s">
        <v>397</v>
      </c>
      <c r="C292" s="114"/>
      <c r="D292" s="111" t="s">
        <v>1547</v>
      </c>
      <c r="E292" s="111" t="s">
        <v>1646</v>
      </c>
      <c r="F292" s="111"/>
      <c r="G292" s="110" t="s">
        <v>2073</v>
      </c>
      <c r="H292" s="141">
        <v>1338.3462420000001</v>
      </c>
      <c r="I292" s="280"/>
      <c r="J292" s="72">
        <v>148.52000000000001</v>
      </c>
      <c r="K292" s="271">
        <f t="shared" si="12"/>
        <v>198771.18386184002</v>
      </c>
      <c r="L292" s="111"/>
      <c r="M292" s="73"/>
      <c r="N292" s="112"/>
      <c r="O292" s="111"/>
      <c r="P292" s="312">
        <v>0</v>
      </c>
      <c r="Q292" s="288">
        <f t="shared" si="13"/>
        <v>0</v>
      </c>
      <c r="R292" s="118">
        <v>0</v>
      </c>
      <c r="S292" s="283">
        <v>2016</v>
      </c>
      <c r="T292" s="288">
        <f t="shared" si="14"/>
        <v>215386</v>
      </c>
    </row>
    <row r="293" spans="2:20">
      <c r="B293" s="386" t="s">
        <v>398</v>
      </c>
      <c r="C293" s="114"/>
      <c r="D293" s="111" t="s">
        <v>1547</v>
      </c>
      <c r="E293" s="111" t="s">
        <v>1647</v>
      </c>
      <c r="F293" s="111"/>
      <c r="G293" s="110" t="s">
        <v>2073</v>
      </c>
      <c r="H293" s="141">
        <v>723.47895400000004</v>
      </c>
      <c r="I293" s="280"/>
      <c r="J293" s="72">
        <v>148.52000000000001</v>
      </c>
      <c r="K293" s="271">
        <f t="shared" si="12"/>
        <v>107451.09424808001</v>
      </c>
      <c r="L293" s="111"/>
      <c r="M293" s="73"/>
      <c r="N293" s="112"/>
      <c r="O293" s="111"/>
      <c r="P293" s="312">
        <v>0</v>
      </c>
      <c r="Q293" s="288">
        <f t="shared" si="13"/>
        <v>0</v>
      </c>
      <c r="R293" s="118">
        <v>0</v>
      </c>
      <c r="S293" s="283">
        <v>2016</v>
      </c>
      <c r="T293" s="288">
        <f t="shared" si="14"/>
        <v>116433</v>
      </c>
    </row>
    <row r="294" spans="2:20">
      <c r="B294" s="386" t="s">
        <v>399</v>
      </c>
      <c r="C294" s="114"/>
      <c r="D294" s="111" t="s">
        <v>1547</v>
      </c>
      <c r="E294" s="111" t="s">
        <v>1648</v>
      </c>
      <c r="F294" s="111"/>
      <c r="G294" s="110" t="s">
        <v>2073</v>
      </c>
      <c r="H294" s="141">
        <v>27.220934</v>
      </c>
      <c r="I294" s="280"/>
      <c r="J294" s="72">
        <v>148.52000000000001</v>
      </c>
      <c r="K294" s="271">
        <f t="shared" si="12"/>
        <v>4042.8531176800002</v>
      </c>
      <c r="L294" s="111"/>
      <c r="M294" s="73"/>
      <c r="N294" s="112"/>
      <c r="O294" s="111"/>
      <c r="P294" s="312">
        <v>0</v>
      </c>
      <c r="Q294" s="288">
        <f t="shared" si="13"/>
        <v>0</v>
      </c>
      <c r="R294" s="118">
        <v>0</v>
      </c>
      <c r="S294" s="283">
        <v>2016</v>
      </c>
      <c r="T294" s="288">
        <f t="shared" si="14"/>
        <v>4381</v>
      </c>
    </row>
    <row r="295" spans="2:20">
      <c r="B295" s="386" t="s">
        <v>400</v>
      </c>
      <c r="C295" s="114"/>
      <c r="D295" s="111" t="s">
        <v>1547</v>
      </c>
      <c r="E295" s="111" t="s">
        <v>1648</v>
      </c>
      <c r="F295" s="111"/>
      <c r="G295" s="110" t="s">
        <v>2073</v>
      </c>
      <c r="H295" s="141">
        <v>18.283849</v>
      </c>
      <c r="I295" s="280"/>
      <c r="J295" s="72">
        <v>148.52000000000001</v>
      </c>
      <c r="K295" s="271">
        <f t="shared" si="12"/>
        <v>2715.5172534800004</v>
      </c>
      <c r="L295" s="111"/>
      <c r="M295" s="73"/>
      <c r="N295" s="112"/>
      <c r="O295" s="111"/>
      <c r="P295" s="312">
        <v>0</v>
      </c>
      <c r="Q295" s="288">
        <f t="shared" si="13"/>
        <v>0</v>
      </c>
      <c r="R295" s="118">
        <v>0</v>
      </c>
      <c r="S295" s="283">
        <v>2016</v>
      </c>
      <c r="T295" s="288">
        <f t="shared" si="14"/>
        <v>2943</v>
      </c>
    </row>
    <row r="296" spans="2:20">
      <c r="B296" s="386" t="s">
        <v>401</v>
      </c>
      <c r="C296" s="114"/>
      <c r="D296" s="111" t="s">
        <v>1547</v>
      </c>
      <c r="E296" s="111" t="s">
        <v>1648</v>
      </c>
      <c r="F296" s="111"/>
      <c r="G296" s="110" t="s">
        <v>2074</v>
      </c>
      <c r="H296" s="141">
        <v>236.84846200000001</v>
      </c>
      <c r="I296" s="280"/>
      <c r="J296" s="72">
        <v>148.52000000000001</v>
      </c>
      <c r="K296" s="271">
        <f t="shared" si="12"/>
        <v>35176.733576240003</v>
      </c>
      <c r="L296" s="111"/>
      <c r="M296" s="73"/>
      <c r="N296" s="112"/>
      <c r="O296" s="111"/>
      <c r="P296" s="312">
        <v>0</v>
      </c>
      <c r="Q296" s="288">
        <f t="shared" si="13"/>
        <v>0</v>
      </c>
      <c r="R296" s="118">
        <v>0</v>
      </c>
      <c r="S296" s="283">
        <v>2016</v>
      </c>
      <c r="T296" s="288">
        <f t="shared" si="14"/>
        <v>38117</v>
      </c>
    </row>
    <row r="297" spans="2:20">
      <c r="B297" s="386" t="s">
        <v>402</v>
      </c>
      <c r="C297" s="114"/>
      <c r="D297" s="111" t="s">
        <v>1547</v>
      </c>
      <c r="E297" s="111" t="s">
        <v>1648</v>
      </c>
      <c r="F297" s="111"/>
      <c r="G297" s="110" t="s">
        <v>2074</v>
      </c>
      <c r="H297" s="141">
        <v>136.04238799999999</v>
      </c>
      <c r="I297" s="280"/>
      <c r="J297" s="72">
        <v>148.52000000000001</v>
      </c>
      <c r="K297" s="271">
        <f t="shared" si="12"/>
        <v>20205.01546576</v>
      </c>
      <c r="L297" s="111"/>
      <c r="M297" s="73"/>
      <c r="N297" s="112"/>
      <c r="O297" s="111"/>
      <c r="P297" s="312">
        <v>0</v>
      </c>
      <c r="Q297" s="288">
        <f t="shared" si="13"/>
        <v>0</v>
      </c>
      <c r="R297" s="118">
        <v>0</v>
      </c>
      <c r="S297" s="283">
        <v>2016</v>
      </c>
      <c r="T297" s="288">
        <f t="shared" si="14"/>
        <v>21894</v>
      </c>
    </row>
    <row r="298" spans="2:20">
      <c r="B298" s="386" t="s">
        <v>403</v>
      </c>
      <c r="C298" s="114"/>
      <c r="D298" s="111" t="s">
        <v>1547</v>
      </c>
      <c r="E298" s="111" t="s">
        <v>1648</v>
      </c>
      <c r="F298" s="111"/>
      <c r="G298" s="110" t="s">
        <v>2074</v>
      </c>
      <c r="H298" s="141">
        <v>70.302352999999997</v>
      </c>
      <c r="I298" s="280"/>
      <c r="J298" s="72">
        <v>148.52000000000001</v>
      </c>
      <c r="K298" s="271">
        <f t="shared" si="12"/>
        <v>10441.30546756</v>
      </c>
      <c r="L298" s="111"/>
      <c r="M298" s="73"/>
      <c r="N298" s="112"/>
      <c r="O298" s="111"/>
      <c r="P298" s="312">
        <v>0</v>
      </c>
      <c r="Q298" s="288">
        <f t="shared" si="13"/>
        <v>0</v>
      </c>
      <c r="R298" s="118">
        <v>0</v>
      </c>
      <c r="S298" s="283">
        <v>2016</v>
      </c>
      <c r="T298" s="288">
        <f t="shared" si="14"/>
        <v>11314</v>
      </c>
    </row>
    <row r="299" spans="2:20">
      <c r="B299" s="386" t="s">
        <v>404</v>
      </c>
      <c r="C299" s="114"/>
      <c r="D299" s="111" t="s">
        <v>1547</v>
      </c>
      <c r="E299" s="111" t="s">
        <v>1649</v>
      </c>
      <c r="F299" s="111"/>
      <c r="G299" s="110" t="s">
        <v>2073</v>
      </c>
      <c r="H299" s="141">
        <v>340.47033199999998</v>
      </c>
      <c r="I299" s="280"/>
      <c r="J299" s="72">
        <v>148.52000000000001</v>
      </c>
      <c r="K299" s="271">
        <f t="shared" si="12"/>
        <v>50566.653708639999</v>
      </c>
      <c r="L299" s="111"/>
      <c r="M299" s="73"/>
      <c r="N299" s="112"/>
      <c r="O299" s="111"/>
      <c r="P299" s="312">
        <v>0</v>
      </c>
      <c r="Q299" s="288">
        <f t="shared" si="13"/>
        <v>0</v>
      </c>
      <c r="R299" s="118">
        <v>0</v>
      </c>
      <c r="S299" s="283">
        <v>2016</v>
      </c>
      <c r="T299" s="288">
        <f t="shared" si="14"/>
        <v>54794</v>
      </c>
    </row>
    <row r="300" spans="2:20">
      <c r="B300" s="386" t="s">
        <v>405</v>
      </c>
      <c r="C300" s="114"/>
      <c r="D300" s="111" t="s">
        <v>1547</v>
      </c>
      <c r="E300" s="111" t="s">
        <v>1649</v>
      </c>
      <c r="F300" s="111"/>
      <c r="G300" s="110" t="s">
        <v>2073</v>
      </c>
      <c r="H300" s="141">
        <v>18.759226999999999</v>
      </c>
      <c r="I300" s="280"/>
      <c r="J300" s="72">
        <v>148.52000000000001</v>
      </c>
      <c r="K300" s="271">
        <f t="shared" si="12"/>
        <v>2786.1203940400001</v>
      </c>
      <c r="L300" s="111"/>
      <c r="M300" s="73"/>
      <c r="N300" s="112"/>
      <c r="O300" s="111"/>
      <c r="P300" s="312">
        <v>0</v>
      </c>
      <c r="Q300" s="288">
        <f t="shared" si="13"/>
        <v>0</v>
      </c>
      <c r="R300" s="118">
        <v>0</v>
      </c>
      <c r="S300" s="283">
        <v>2016</v>
      </c>
      <c r="T300" s="288">
        <f t="shared" si="14"/>
        <v>3019</v>
      </c>
    </row>
    <row r="301" spans="2:20">
      <c r="B301" s="386" t="s">
        <v>406</v>
      </c>
      <c r="C301" s="114"/>
      <c r="D301" s="111" t="s">
        <v>1547</v>
      </c>
      <c r="E301" s="111" t="s">
        <v>1649</v>
      </c>
      <c r="F301" s="111"/>
      <c r="G301" s="110" t="s">
        <v>2073</v>
      </c>
      <c r="H301" s="141">
        <v>197.802212</v>
      </c>
      <c r="I301" s="280"/>
      <c r="J301" s="72">
        <v>148.52000000000001</v>
      </c>
      <c r="K301" s="271">
        <f t="shared" si="12"/>
        <v>29377.58452624</v>
      </c>
      <c r="L301" s="111"/>
      <c r="M301" s="73"/>
      <c r="N301" s="112"/>
      <c r="O301" s="111"/>
      <c r="P301" s="312">
        <v>0</v>
      </c>
      <c r="Q301" s="288">
        <f t="shared" si="13"/>
        <v>0</v>
      </c>
      <c r="R301" s="118">
        <v>0</v>
      </c>
      <c r="S301" s="283">
        <v>2016</v>
      </c>
      <c r="T301" s="288">
        <f t="shared" si="14"/>
        <v>31833</v>
      </c>
    </row>
    <row r="302" spans="2:20">
      <c r="B302" s="386" t="s">
        <v>407</v>
      </c>
      <c r="C302" s="114"/>
      <c r="D302" s="111" t="s">
        <v>1547</v>
      </c>
      <c r="E302" s="111" t="s">
        <v>1650</v>
      </c>
      <c r="F302" s="111"/>
      <c r="G302" s="110" t="s">
        <v>2073</v>
      </c>
      <c r="H302" s="141">
        <v>37.030082999999998</v>
      </c>
      <c r="I302" s="280"/>
      <c r="J302" s="72">
        <v>148.52000000000001</v>
      </c>
      <c r="K302" s="271">
        <f t="shared" si="12"/>
        <v>5499.7079271599996</v>
      </c>
      <c r="L302" s="111"/>
      <c r="M302" s="73"/>
      <c r="N302" s="112"/>
      <c r="O302" s="111"/>
      <c r="P302" s="312">
        <v>0</v>
      </c>
      <c r="Q302" s="288">
        <f t="shared" si="13"/>
        <v>0</v>
      </c>
      <c r="R302" s="118">
        <v>0</v>
      </c>
      <c r="S302" s="283">
        <v>2016</v>
      </c>
      <c r="T302" s="288">
        <f t="shared" si="14"/>
        <v>5959</v>
      </c>
    </row>
    <row r="303" spans="2:20">
      <c r="B303" s="386" t="s">
        <v>408</v>
      </c>
      <c r="C303" s="114"/>
      <c r="D303" s="111" t="s">
        <v>1547</v>
      </c>
      <c r="E303" s="111" t="s">
        <v>1650</v>
      </c>
      <c r="F303" s="111"/>
      <c r="G303" s="110" t="s">
        <v>2073</v>
      </c>
      <c r="H303" s="141">
        <v>18.167975999999999</v>
      </c>
      <c r="I303" s="280"/>
      <c r="J303" s="72">
        <v>148.52000000000001</v>
      </c>
      <c r="K303" s="271">
        <f t="shared" si="12"/>
        <v>2698.3077955200001</v>
      </c>
      <c r="L303" s="111"/>
      <c r="M303" s="73"/>
      <c r="N303" s="112"/>
      <c r="O303" s="111"/>
      <c r="P303" s="312">
        <v>0</v>
      </c>
      <c r="Q303" s="288">
        <f t="shared" si="13"/>
        <v>0</v>
      </c>
      <c r="R303" s="118">
        <v>0</v>
      </c>
      <c r="S303" s="283">
        <v>2016</v>
      </c>
      <c r="T303" s="288">
        <f t="shared" si="14"/>
        <v>2924</v>
      </c>
    </row>
    <row r="304" spans="2:20">
      <c r="B304" s="386" t="s">
        <v>409</v>
      </c>
      <c r="C304" s="114"/>
      <c r="D304" s="111" t="s">
        <v>1547</v>
      </c>
      <c r="E304" s="111" t="s">
        <v>1650</v>
      </c>
      <c r="F304" s="111"/>
      <c r="G304" s="110" t="s">
        <v>2073</v>
      </c>
      <c r="H304" s="141">
        <v>71.462957000000003</v>
      </c>
      <c r="I304" s="280"/>
      <c r="J304" s="72">
        <v>148.52000000000001</v>
      </c>
      <c r="K304" s="271">
        <f t="shared" si="12"/>
        <v>10613.678373640001</v>
      </c>
      <c r="L304" s="111"/>
      <c r="M304" s="73"/>
      <c r="N304" s="112"/>
      <c r="O304" s="111"/>
      <c r="P304" s="312">
        <v>0</v>
      </c>
      <c r="Q304" s="288">
        <f t="shared" si="13"/>
        <v>0</v>
      </c>
      <c r="R304" s="118">
        <v>0</v>
      </c>
      <c r="S304" s="283">
        <v>2016</v>
      </c>
      <c r="T304" s="288">
        <f t="shared" si="14"/>
        <v>11501</v>
      </c>
    </row>
    <row r="305" spans="2:20">
      <c r="B305" s="386" t="s">
        <v>410</v>
      </c>
      <c r="C305" s="114"/>
      <c r="D305" s="111" t="s">
        <v>1547</v>
      </c>
      <c r="E305" s="111" t="s">
        <v>1651</v>
      </c>
      <c r="F305" s="111"/>
      <c r="G305" s="110" t="s">
        <v>2073</v>
      </c>
      <c r="H305" s="141">
        <v>233.335497</v>
      </c>
      <c r="I305" s="280"/>
      <c r="J305" s="72">
        <v>148.52000000000001</v>
      </c>
      <c r="K305" s="271">
        <f t="shared" si="12"/>
        <v>34654.988014440001</v>
      </c>
      <c r="L305" s="111"/>
      <c r="M305" s="73"/>
      <c r="N305" s="112"/>
      <c r="O305" s="111"/>
      <c r="P305" s="312">
        <v>0</v>
      </c>
      <c r="Q305" s="288">
        <f t="shared" si="13"/>
        <v>0</v>
      </c>
      <c r="R305" s="118">
        <v>0</v>
      </c>
      <c r="S305" s="283">
        <v>2016</v>
      </c>
      <c r="T305" s="288">
        <f t="shared" si="14"/>
        <v>37552</v>
      </c>
    </row>
    <row r="306" spans="2:20">
      <c r="B306" s="386" t="s">
        <v>411</v>
      </c>
      <c r="C306" s="114"/>
      <c r="D306" s="111" t="s">
        <v>1546</v>
      </c>
      <c r="E306" s="111" t="s">
        <v>1652</v>
      </c>
      <c r="F306" s="111"/>
      <c r="G306" s="110" t="s">
        <v>2073</v>
      </c>
      <c r="H306" s="141">
        <v>712.78821000000005</v>
      </c>
      <c r="I306" s="280"/>
      <c r="J306" s="72">
        <v>148.52000000000001</v>
      </c>
      <c r="K306" s="271">
        <f t="shared" si="12"/>
        <v>105863.30494920001</v>
      </c>
      <c r="L306" s="111"/>
      <c r="M306" s="73"/>
      <c r="N306" s="112"/>
      <c r="O306" s="111"/>
      <c r="P306" s="312">
        <v>0</v>
      </c>
      <c r="Q306" s="288">
        <f t="shared" si="13"/>
        <v>0</v>
      </c>
      <c r="R306" s="118">
        <v>0</v>
      </c>
      <c r="S306" s="283">
        <v>2016</v>
      </c>
      <c r="T306" s="288">
        <f t="shared" si="14"/>
        <v>114712</v>
      </c>
    </row>
    <row r="307" spans="2:20">
      <c r="B307" s="386" t="s">
        <v>412</v>
      </c>
      <c r="C307" s="114"/>
      <c r="D307" s="111" t="s">
        <v>1546</v>
      </c>
      <c r="E307" s="111" t="s">
        <v>1653</v>
      </c>
      <c r="F307" s="111"/>
      <c r="G307" s="110" t="s">
        <v>2073</v>
      </c>
      <c r="H307" s="141">
        <v>243.29769099999999</v>
      </c>
      <c r="I307" s="280"/>
      <c r="J307" s="72">
        <v>148.52000000000001</v>
      </c>
      <c r="K307" s="271">
        <f t="shared" si="12"/>
        <v>36134.573067320001</v>
      </c>
      <c r="L307" s="111"/>
      <c r="M307" s="73"/>
      <c r="N307" s="112"/>
      <c r="O307" s="111"/>
      <c r="P307" s="312">
        <v>0</v>
      </c>
      <c r="Q307" s="288">
        <f t="shared" si="13"/>
        <v>0</v>
      </c>
      <c r="R307" s="118">
        <v>0</v>
      </c>
      <c r="S307" s="283">
        <v>2016</v>
      </c>
      <c r="T307" s="288">
        <f t="shared" si="14"/>
        <v>39155</v>
      </c>
    </row>
    <row r="308" spans="2:20">
      <c r="B308" s="386" t="s">
        <v>413</v>
      </c>
      <c r="C308" s="114"/>
      <c r="D308" s="111" t="s">
        <v>1546</v>
      </c>
      <c r="E308" s="111" t="s">
        <v>1653</v>
      </c>
      <c r="F308" s="111"/>
      <c r="G308" s="110" t="s">
        <v>2073</v>
      </c>
      <c r="H308" s="141">
        <v>100.89264300000001</v>
      </c>
      <c r="I308" s="280"/>
      <c r="J308" s="72">
        <v>148.52000000000001</v>
      </c>
      <c r="K308" s="271">
        <f t="shared" si="12"/>
        <v>14984.575338360002</v>
      </c>
      <c r="L308" s="111"/>
      <c r="M308" s="73"/>
      <c r="N308" s="112"/>
      <c r="O308" s="111"/>
      <c r="P308" s="312">
        <v>0</v>
      </c>
      <c r="Q308" s="288">
        <f t="shared" si="13"/>
        <v>0</v>
      </c>
      <c r="R308" s="118">
        <v>0</v>
      </c>
      <c r="S308" s="283">
        <v>2016</v>
      </c>
      <c r="T308" s="288">
        <f t="shared" si="14"/>
        <v>16237</v>
      </c>
    </row>
    <row r="309" spans="2:20">
      <c r="B309" s="386" t="s">
        <v>414</v>
      </c>
      <c r="C309" s="114"/>
      <c r="D309" s="111" t="s">
        <v>1546</v>
      </c>
      <c r="E309" s="111" t="s">
        <v>1653</v>
      </c>
      <c r="F309" s="111"/>
      <c r="G309" s="110" t="s">
        <v>2073</v>
      </c>
      <c r="H309" s="141">
        <v>2.8967930000000002</v>
      </c>
      <c r="I309" s="280"/>
      <c r="J309" s="72">
        <v>148.52000000000001</v>
      </c>
      <c r="K309" s="271">
        <f t="shared" si="12"/>
        <v>430.23169636000006</v>
      </c>
      <c r="L309" s="111"/>
      <c r="M309" s="73"/>
      <c r="N309" s="112"/>
      <c r="O309" s="111"/>
      <c r="P309" s="312">
        <v>0</v>
      </c>
      <c r="Q309" s="288">
        <f t="shared" si="13"/>
        <v>0</v>
      </c>
      <c r="R309" s="118">
        <v>0</v>
      </c>
      <c r="S309" s="283">
        <v>2016</v>
      </c>
      <c r="T309" s="288">
        <f t="shared" si="14"/>
        <v>466</v>
      </c>
    </row>
    <row r="310" spans="2:20">
      <c r="B310" s="386" t="s">
        <v>415</v>
      </c>
      <c r="C310" s="114"/>
      <c r="D310" s="111" t="s">
        <v>1546</v>
      </c>
      <c r="E310" s="111" t="s">
        <v>1653</v>
      </c>
      <c r="F310" s="111"/>
      <c r="G310" s="110" t="s">
        <v>2073</v>
      </c>
      <c r="H310" s="141">
        <v>3.961875</v>
      </c>
      <c r="I310" s="280"/>
      <c r="J310" s="72">
        <v>148.52000000000001</v>
      </c>
      <c r="K310" s="271">
        <f t="shared" si="12"/>
        <v>588.41767500000003</v>
      </c>
      <c r="L310" s="111"/>
      <c r="M310" s="73"/>
      <c r="N310" s="112"/>
      <c r="O310" s="111"/>
      <c r="P310" s="312">
        <v>0</v>
      </c>
      <c r="Q310" s="288">
        <f t="shared" si="13"/>
        <v>0</v>
      </c>
      <c r="R310" s="118">
        <v>0</v>
      </c>
      <c r="S310" s="283">
        <v>2016</v>
      </c>
      <c r="T310" s="288">
        <f t="shared" si="14"/>
        <v>638</v>
      </c>
    </row>
    <row r="311" spans="2:20">
      <c r="B311" s="386" t="s">
        <v>416</v>
      </c>
      <c r="C311" s="114"/>
      <c r="D311" s="111" t="s">
        <v>1547</v>
      </c>
      <c r="E311" s="111" t="s">
        <v>1654</v>
      </c>
      <c r="F311" s="111"/>
      <c r="G311" s="110" t="s">
        <v>2073</v>
      </c>
      <c r="H311" s="141">
        <v>612.37775299999998</v>
      </c>
      <c r="I311" s="280"/>
      <c r="J311" s="72">
        <v>148.52000000000001</v>
      </c>
      <c r="K311" s="271">
        <f t="shared" si="12"/>
        <v>90950.343875560007</v>
      </c>
      <c r="L311" s="111"/>
      <c r="M311" s="73"/>
      <c r="N311" s="112"/>
      <c r="O311" s="111"/>
      <c r="P311" s="312">
        <v>0</v>
      </c>
      <c r="Q311" s="288">
        <f t="shared" si="13"/>
        <v>0</v>
      </c>
      <c r="R311" s="118">
        <v>0</v>
      </c>
      <c r="S311" s="283">
        <v>2016</v>
      </c>
      <c r="T311" s="288">
        <f t="shared" si="14"/>
        <v>98553</v>
      </c>
    </row>
    <row r="312" spans="2:20">
      <c r="B312" s="386" t="s">
        <v>417</v>
      </c>
      <c r="C312" s="114"/>
      <c r="D312" s="111" t="s">
        <v>1547</v>
      </c>
      <c r="E312" s="111" t="s">
        <v>1654</v>
      </c>
      <c r="F312" s="111"/>
      <c r="G312" s="110" t="s">
        <v>2073</v>
      </c>
      <c r="H312" s="141">
        <v>226.488674</v>
      </c>
      <c r="I312" s="280"/>
      <c r="J312" s="72">
        <v>148.52000000000001</v>
      </c>
      <c r="K312" s="271">
        <f t="shared" si="12"/>
        <v>33638.097862480005</v>
      </c>
      <c r="L312" s="111"/>
      <c r="M312" s="73"/>
      <c r="N312" s="112"/>
      <c r="O312" s="111"/>
      <c r="P312" s="312">
        <v>0</v>
      </c>
      <c r="Q312" s="288">
        <f t="shared" si="13"/>
        <v>0</v>
      </c>
      <c r="R312" s="118">
        <v>0</v>
      </c>
      <c r="S312" s="283">
        <v>2016</v>
      </c>
      <c r="T312" s="288">
        <f t="shared" si="14"/>
        <v>36450</v>
      </c>
    </row>
    <row r="313" spans="2:20">
      <c r="B313" s="386" t="s">
        <v>418</v>
      </c>
      <c r="C313" s="114"/>
      <c r="D313" s="111" t="s">
        <v>1547</v>
      </c>
      <c r="E313" s="111" t="s">
        <v>1654</v>
      </c>
      <c r="F313" s="111"/>
      <c r="G313" s="110" t="s">
        <v>2073</v>
      </c>
      <c r="H313" s="141">
        <v>28.872154999999999</v>
      </c>
      <c r="I313" s="280"/>
      <c r="J313" s="72">
        <v>148.52000000000001</v>
      </c>
      <c r="K313" s="271">
        <f t="shared" si="12"/>
        <v>4288.0924605999999</v>
      </c>
      <c r="L313" s="111"/>
      <c r="M313" s="73"/>
      <c r="N313" s="112"/>
      <c r="O313" s="111"/>
      <c r="P313" s="312">
        <v>0</v>
      </c>
      <c r="Q313" s="288">
        <f t="shared" si="13"/>
        <v>0</v>
      </c>
      <c r="R313" s="118">
        <v>0</v>
      </c>
      <c r="S313" s="283">
        <v>2016</v>
      </c>
      <c r="T313" s="288">
        <f t="shared" si="14"/>
        <v>4647</v>
      </c>
    </row>
    <row r="314" spans="2:20">
      <c r="B314" s="386" t="s">
        <v>419</v>
      </c>
      <c r="C314" s="114"/>
      <c r="D314" s="111" t="s">
        <v>1547</v>
      </c>
      <c r="E314" s="111" t="s">
        <v>1654</v>
      </c>
      <c r="F314" s="111"/>
      <c r="G314" s="110" t="s">
        <v>2073</v>
      </c>
      <c r="H314" s="141">
        <v>854.56351600000005</v>
      </c>
      <c r="I314" s="280"/>
      <c r="J314" s="72">
        <v>148.52000000000001</v>
      </c>
      <c r="K314" s="271">
        <f t="shared" si="12"/>
        <v>126919.77339632002</v>
      </c>
      <c r="L314" s="111"/>
      <c r="M314" s="73"/>
      <c r="N314" s="112"/>
      <c r="O314" s="111"/>
      <c r="P314" s="312">
        <v>0</v>
      </c>
      <c r="Q314" s="288">
        <f t="shared" si="13"/>
        <v>0</v>
      </c>
      <c r="R314" s="118">
        <v>0</v>
      </c>
      <c r="S314" s="283">
        <v>2016</v>
      </c>
      <c r="T314" s="288">
        <f t="shared" si="14"/>
        <v>137529</v>
      </c>
    </row>
    <row r="315" spans="2:20">
      <c r="B315" s="386" t="s">
        <v>420</v>
      </c>
      <c r="C315" s="114"/>
      <c r="D315" s="111" t="s">
        <v>1547</v>
      </c>
      <c r="E315" s="111" t="s">
        <v>1655</v>
      </c>
      <c r="F315" s="111"/>
      <c r="G315" s="110" t="s">
        <v>2073</v>
      </c>
      <c r="H315" s="141">
        <v>304.35689100000002</v>
      </c>
      <c r="I315" s="280"/>
      <c r="J315" s="72">
        <v>148.52000000000001</v>
      </c>
      <c r="K315" s="271">
        <f t="shared" si="12"/>
        <v>45203.085451320003</v>
      </c>
      <c r="L315" s="111"/>
      <c r="M315" s="73"/>
      <c r="N315" s="112"/>
      <c r="O315" s="111"/>
      <c r="P315" s="312">
        <v>0</v>
      </c>
      <c r="Q315" s="288">
        <f t="shared" si="13"/>
        <v>0</v>
      </c>
      <c r="R315" s="118">
        <v>0</v>
      </c>
      <c r="S315" s="283">
        <v>2016</v>
      </c>
      <c r="T315" s="288">
        <f t="shared" si="14"/>
        <v>48982</v>
      </c>
    </row>
    <row r="316" spans="2:20">
      <c r="B316" s="386" t="s">
        <v>421</v>
      </c>
      <c r="C316" s="114"/>
      <c r="D316" s="111" t="s">
        <v>1547</v>
      </c>
      <c r="E316" s="111" t="s">
        <v>1655</v>
      </c>
      <c r="F316" s="111"/>
      <c r="G316" s="110" t="s">
        <v>2073</v>
      </c>
      <c r="H316" s="141">
        <v>201.71494300000001</v>
      </c>
      <c r="I316" s="280"/>
      <c r="J316" s="72">
        <v>148.52000000000001</v>
      </c>
      <c r="K316" s="271">
        <f t="shared" si="12"/>
        <v>29958.703334360001</v>
      </c>
      <c r="L316" s="111"/>
      <c r="M316" s="73"/>
      <c r="N316" s="112"/>
      <c r="O316" s="111"/>
      <c r="P316" s="312">
        <v>0</v>
      </c>
      <c r="Q316" s="288">
        <f t="shared" si="13"/>
        <v>0</v>
      </c>
      <c r="R316" s="118">
        <v>0</v>
      </c>
      <c r="S316" s="283">
        <v>2016</v>
      </c>
      <c r="T316" s="288">
        <f t="shared" si="14"/>
        <v>32463</v>
      </c>
    </row>
    <row r="317" spans="2:20">
      <c r="B317" s="386" t="s">
        <v>422</v>
      </c>
      <c r="C317" s="114"/>
      <c r="D317" s="111" t="s">
        <v>1547</v>
      </c>
      <c r="E317" s="111" t="s">
        <v>1656</v>
      </c>
      <c r="F317" s="111"/>
      <c r="G317" s="110" t="s">
        <v>2073</v>
      </c>
      <c r="H317" s="141">
        <v>1051.9813959999999</v>
      </c>
      <c r="I317" s="280"/>
      <c r="J317" s="72">
        <v>148.52000000000001</v>
      </c>
      <c r="K317" s="271">
        <f t="shared" si="12"/>
        <v>156240.27693391999</v>
      </c>
      <c r="L317" s="111"/>
      <c r="M317" s="73"/>
      <c r="N317" s="112"/>
      <c r="O317" s="111"/>
      <c r="P317" s="312">
        <v>0</v>
      </c>
      <c r="Q317" s="288">
        <f t="shared" si="13"/>
        <v>0</v>
      </c>
      <c r="R317" s="118">
        <v>0</v>
      </c>
      <c r="S317" s="283">
        <v>2016</v>
      </c>
      <c r="T317" s="288">
        <f t="shared" si="14"/>
        <v>169300</v>
      </c>
    </row>
    <row r="318" spans="2:20">
      <c r="B318" s="386" t="s">
        <v>423</v>
      </c>
      <c r="C318" s="114"/>
      <c r="D318" s="111" t="s">
        <v>1547</v>
      </c>
      <c r="E318" s="111" t="s">
        <v>1657</v>
      </c>
      <c r="F318" s="111"/>
      <c r="G318" s="110" t="s">
        <v>2073</v>
      </c>
      <c r="H318" s="141">
        <v>100.90156399999999</v>
      </c>
      <c r="I318" s="280"/>
      <c r="J318" s="72">
        <v>148.52000000000001</v>
      </c>
      <c r="K318" s="271">
        <f t="shared" si="12"/>
        <v>14985.90028528</v>
      </c>
      <c r="L318" s="111"/>
      <c r="M318" s="73"/>
      <c r="N318" s="112"/>
      <c r="O318" s="111"/>
      <c r="P318" s="312">
        <v>0</v>
      </c>
      <c r="Q318" s="288">
        <f t="shared" si="13"/>
        <v>0</v>
      </c>
      <c r="R318" s="118">
        <v>0</v>
      </c>
      <c r="S318" s="283">
        <v>2016</v>
      </c>
      <c r="T318" s="288">
        <f t="shared" si="14"/>
        <v>16239</v>
      </c>
    </row>
    <row r="319" spans="2:20">
      <c r="B319" s="386" t="s">
        <v>424</v>
      </c>
      <c r="C319" s="114"/>
      <c r="D319" s="111" t="s">
        <v>1547</v>
      </c>
      <c r="E319" s="111" t="s">
        <v>1657</v>
      </c>
      <c r="F319" s="111"/>
      <c r="G319" s="110" t="s">
        <v>2073</v>
      </c>
      <c r="H319" s="141">
        <v>41.800894</v>
      </c>
      <c r="I319" s="280"/>
      <c r="J319" s="72">
        <v>148.52000000000001</v>
      </c>
      <c r="K319" s="271">
        <f t="shared" si="12"/>
        <v>6208.2687768800006</v>
      </c>
      <c r="L319" s="111"/>
      <c r="M319" s="73"/>
      <c r="N319" s="112"/>
      <c r="O319" s="111"/>
      <c r="P319" s="312">
        <v>0</v>
      </c>
      <c r="Q319" s="288">
        <f t="shared" si="13"/>
        <v>0</v>
      </c>
      <c r="R319" s="118">
        <v>0</v>
      </c>
      <c r="S319" s="283">
        <v>2016</v>
      </c>
      <c r="T319" s="288">
        <f t="shared" si="14"/>
        <v>6727</v>
      </c>
    </row>
    <row r="320" spans="2:20">
      <c r="B320" s="386" t="s">
        <v>425</v>
      </c>
      <c r="C320" s="114"/>
      <c r="D320" s="111" t="s">
        <v>1547</v>
      </c>
      <c r="E320" s="111" t="s">
        <v>1657</v>
      </c>
      <c r="F320" s="111"/>
      <c r="G320" s="110" t="s">
        <v>2073</v>
      </c>
      <c r="H320" s="141">
        <v>27.096475999999999</v>
      </c>
      <c r="I320" s="280"/>
      <c r="J320" s="72">
        <v>148.52000000000001</v>
      </c>
      <c r="K320" s="271">
        <f t="shared" si="12"/>
        <v>4024.3686155200003</v>
      </c>
      <c r="L320" s="111"/>
      <c r="M320" s="73"/>
      <c r="N320" s="112"/>
      <c r="O320" s="111"/>
      <c r="P320" s="312">
        <v>0</v>
      </c>
      <c r="Q320" s="288">
        <f t="shared" si="13"/>
        <v>0</v>
      </c>
      <c r="R320" s="118">
        <v>0</v>
      </c>
      <c r="S320" s="283">
        <v>2016</v>
      </c>
      <c r="T320" s="288">
        <f t="shared" si="14"/>
        <v>4361</v>
      </c>
    </row>
    <row r="321" spans="2:20">
      <c r="B321" s="386" t="s">
        <v>426</v>
      </c>
      <c r="C321" s="114"/>
      <c r="D321" s="111" t="s">
        <v>1547</v>
      </c>
      <c r="E321" s="111" t="s">
        <v>1657</v>
      </c>
      <c r="F321" s="111"/>
      <c r="G321" s="110" t="s">
        <v>2073</v>
      </c>
      <c r="H321" s="141">
        <v>482.295592</v>
      </c>
      <c r="I321" s="280"/>
      <c r="J321" s="72">
        <v>148.52000000000001</v>
      </c>
      <c r="K321" s="271">
        <f t="shared" si="12"/>
        <v>71630.541323840007</v>
      </c>
      <c r="L321" s="111"/>
      <c r="M321" s="73"/>
      <c r="N321" s="112"/>
      <c r="O321" s="111"/>
      <c r="P321" s="312">
        <v>0</v>
      </c>
      <c r="Q321" s="288">
        <f t="shared" si="13"/>
        <v>0</v>
      </c>
      <c r="R321" s="118">
        <v>0</v>
      </c>
      <c r="S321" s="283">
        <v>2016</v>
      </c>
      <c r="T321" s="288">
        <f t="shared" si="14"/>
        <v>77618</v>
      </c>
    </row>
    <row r="322" spans="2:20">
      <c r="B322" s="386" t="s">
        <v>427</v>
      </c>
      <c r="C322" s="114"/>
      <c r="D322" s="111" t="s">
        <v>1547</v>
      </c>
      <c r="E322" s="111" t="s">
        <v>1657</v>
      </c>
      <c r="F322" s="111"/>
      <c r="G322" s="110" t="s">
        <v>2073</v>
      </c>
      <c r="H322" s="141">
        <v>29.713024000000001</v>
      </c>
      <c r="I322" s="280"/>
      <c r="J322" s="72">
        <v>148.52000000000001</v>
      </c>
      <c r="K322" s="271">
        <f t="shared" si="12"/>
        <v>4412.9783244800001</v>
      </c>
      <c r="L322" s="111"/>
      <c r="M322" s="73"/>
      <c r="N322" s="112"/>
      <c r="O322" s="111"/>
      <c r="P322" s="312">
        <v>0</v>
      </c>
      <c r="Q322" s="288">
        <f t="shared" si="13"/>
        <v>0</v>
      </c>
      <c r="R322" s="118">
        <v>0</v>
      </c>
      <c r="S322" s="283">
        <v>2016</v>
      </c>
      <c r="T322" s="288">
        <f t="shared" si="14"/>
        <v>4782</v>
      </c>
    </row>
    <row r="323" spans="2:20">
      <c r="B323" s="386" t="s">
        <v>428</v>
      </c>
      <c r="C323" s="114"/>
      <c r="D323" s="111" t="s">
        <v>1547</v>
      </c>
      <c r="E323" s="111" t="s">
        <v>1658</v>
      </c>
      <c r="F323" s="111"/>
      <c r="G323" s="110" t="s">
        <v>2074</v>
      </c>
      <c r="H323" s="141">
        <v>277.85729600000002</v>
      </c>
      <c r="I323" s="280"/>
      <c r="J323" s="72">
        <v>148.52000000000001</v>
      </c>
      <c r="K323" s="271">
        <f t="shared" si="12"/>
        <v>41267.365601920006</v>
      </c>
      <c r="L323" s="111"/>
      <c r="M323" s="73"/>
      <c r="N323" s="112"/>
      <c r="O323" s="111"/>
      <c r="P323" s="312">
        <v>651.27118900000005</v>
      </c>
      <c r="Q323" s="288">
        <f t="shared" si="13"/>
        <v>116.79434095156941</v>
      </c>
      <c r="R323" s="118">
        <v>76064.789300000004</v>
      </c>
      <c r="S323" s="283">
        <v>2016</v>
      </c>
      <c r="T323" s="288">
        <f t="shared" si="14"/>
        <v>127274</v>
      </c>
    </row>
    <row r="324" spans="2:20">
      <c r="B324" s="386" t="s">
        <v>429</v>
      </c>
      <c r="C324" s="114"/>
      <c r="D324" s="111" t="s">
        <v>1547</v>
      </c>
      <c r="E324" s="111" t="s">
        <v>1658</v>
      </c>
      <c r="F324" s="111"/>
      <c r="G324" s="110" t="s">
        <v>2073</v>
      </c>
      <c r="H324" s="141">
        <v>195.96693300000001</v>
      </c>
      <c r="I324" s="280"/>
      <c r="J324" s="72">
        <v>148.52000000000001</v>
      </c>
      <c r="K324" s="271">
        <f t="shared" si="12"/>
        <v>29105.008889160003</v>
      </c>
      <c r="L324" s="111"/>
      <c r="M324" s="73"/>
      <c r="N324" s="112"/>
      <c r="O324" s="111"/>
      <c r="P324" s="312">
        <v>0</v>
      </c>
      <c r="Q324" s="288">
        <f t="shared" si="13"/>
        <v>0</v>
      </c>
      <c r="R324" s="118">
        <v>0</v>
      </c>
      <c r="S324" s="283">
        <v>2016</v>
      </c>
      <c r="T324" s="288">
        <f t="shared" si="14"/>
        <v>31538</v>
      </c>
    </row>
    <row r="325" spans="2:20">
      <c r="B325" s="386" t="s">
        <v>430</v>
      </c>
      <c r="C325" s="114"/>
      <c r="D325" s="111" t="s">
        <v>1546</v>
      </c>
      <c r="E325" s="111" t="s">
        <v>1659</v>
      </c>
      <c r="F325" s="111"/>
      <c r="G325" s="110" t="s">
        <v>2073</v>
      </c>
      <c r="H325" s="141">
        <v>78.385366000000005</v>
      </c>
      <c r="I325" s="280"/>
      <c r="J325" s="72">
        <v>148.52000000000001</v>
      </c>
      <c r="K325" s="271">
        <f t="shared" si="12"/>
        <v>11641.794558320002</v>
      </c>
      <c r="L325" s="111"/>
      <c r="M325" s="73"/>
      <c r="N325" s="112"/>
      <c r="O325" s="111"/>
      <c r="P325" s="312">
        <v>0</v>
      </c>
      <c r="Q325" s="288">
        <f t="shared" si="13"/>
        <v>0</v>
      </c>
      <c r="R325" s="118">
        <v>0</v>
      </c>
      <c r="S325" s="283">
        <v>2016</v>
      </c>
      <c r="T325" s="288">
        <f t="shared" si="14"/>
        <v>12615</v>
      </c>
    </row>
    <row r="326" spans="2:20">
      <c r="B326" s="386" t="s">
        <v>431</v>
      </c>
      <c r="C326" s="114"/>
      <c r="D326" s="111" t="s">
        <v>1546</v>
      </c>
      <c r="E326" s="111" t="s">
        <v>1660</v>
      </c>
      <c r="F326" s="111"/>
      <c r="G326" s="110" t="s">
        <v>2073</v>
      </c>
      <c r="H326" s="141">
        <v>14.600066999999999</v>
      </c>
      <c r="I326" s="280"/>
      <c r="J326" s="72">
        <v>148.52000000000001</v>
      </c>
      <c r="K326" s="271">
        <f t="shared" si="12"/>
        <v>2168.4019508400002</v>
      </c>
      <c r="L326" s="111"/>
      <c r="M326" s="73"/>
      <c r="N326" s="112"/>
      <c r="O326" s="111"/>
      <c r="P326" s="312">
        <v>0</v>
      </c>
      <c r="Q326" s="288">
        <f t="shared" si="13"/>
        <v>0</v>
      </c>
      <c r="R326" s="118">
        <v>0</v>
      </c>
      <c r="S326" s="283">
        <v>2016</v>
      </c>
      <c r="T326" s="288">
        <f t="shared" si="14"/>
        <v>2350</v>
      </c>
    </row>
    <row r="327" spans="2:20">
      <c r="B327" s="386" t="s">
        <v>432</v>
      </c>
      <c r="C327" s="114"/>
      <c r="D327" s="111" t="s">
        <v>1547</v>
      </c>
      <c r="E327" s="111" t="s">
        <v>1661</v>
      </c>
      <c r="F327" s="111"/>
      <c r="G327" s="110" t="s">
        <v>2073</v>
      </c>
      <c r="H327" s="141">
        <v>712.98795600000005</v>
      </c>
      <c r="I327" s="280"/>
      <c r="J327" s="72">
        <v>148.52000000000001</v>
      </c>
      <c r="K327" s="271">
        <f t="shared" si="12"/>
        <v>105892.97122512001</v>
      </c>
      <c r="L327" s="111"/>
      <c r="M327" s="73"/>
      <c r="N327" s="112"/>
      <c r="O327" s="111"/>
      <c r="P327" s="312">
        <v>0</v>
      </c>
      <c r="Q327" s="288">
        <f t="shared" si="13"/>
        <v>0</v>
      </c>
      <c r="R327" s="118">
        <v>0</v>
      </c>
      <c r="S327" s="283">
        <v>2016</v>
      </c>
      <c r="T327" s="288">
        <f t="shared" si="14"/>
        <v>114745</v>
      </c>
    </row>
    <row r="328" spans="2:20">
      <c r="B328" s="386" t="s">
        <v>433</v>
      </c>
      <c r="C328" s="114"/>
      <c r="D328" s="111" t="s">
        <v>1547</v>
      </c>
      <c r="E328" s="111" t="s">
        <v>1661</v>
      </c>
      <c r="F328" s="111"/>
      <c r="G328" s="110" t="s">
        <v>2073</v>
      </c>
      <c r="H328" s="141">
        <v>350.49574999999999</v>
      </c>
      <c r="I328" s="280"/>
      <c r="J328" s="72">
        <v>148.52000000000001</v>
      </c>
      <c r="K328" s="271">
        <f t="shared" si="12"/>
        <v>52055.628790000002</v>
      </c>
      <c r="L328" s="111"/>
      <c r="M328" s="73"/>
      <c r="N328" s="112"/>
      <c r="O328" s="111"/>
      <c r="P328" s="312">
        <v>0</v>
      </c>
      <c r="Q328" s="288">
        <f t="shared" si="13"/>
        <v>0</v>
      </c>
      <c r="R328" s="118">
        <v>0</v>
      </c>
      <c r="S328" s="283">
        <v>2016</v>
      </c>
      <c r="T328" s="288">
        <f t="shared" si="14"/>
        <v>56407</v>
      </c>
    </row>
    <row r="329" spans="2:20">
      <c r="B329" s="386" t="s">
        <v>434</v>
      </c>
      <c r="C329" s="114"/>
      <c r="D329" s="111" t="s">
        <v>1546</v>
      </c>
      <c r="E329" s="111" t="s">
        <v>1662</v>
      </c>
      <c r="F329" s="111"/>
      <c r="G329" s="110" t="s">
        <v>2072</v>
      </c>
      <c r="H329" s="141">
        <v>491.978027</v>
      </c>
      <c r="I329" s="280"/>
      <c r="J329" s="72">
        <v>151.88</v>
      </c>
      <c r="K329" s="271">
        <f t="shared" ref="K329:K391" si="15">J329*H329</f>
        <v>74721.622740759994</v>
      </c>
      <c r="L329" s="111"/>
      <c r="M329" s="73"/>
      <c r="N329" s="112"/>
      <c r="O329" s="111"/>
      <c r="P329" s="312">
        <v>0</v>
      </c>
      <c r="Q329" s="288">
        <f t="shared" ref="Q329:Q391" si="16">IFERROR(R329/P329,0)</f>
        <v>0</v>
      </c>
      <c r="R329" s="118">
        <v>0</v>
      </c>
      <c r="S329" s="283">
        <v>2016</v>
      </c>
      <c r="T329" s="288">
        <f t="shared" si="14"/>
        <v>80968</v>
      </c>
    </row>
    <row r="330" spans="2:20">
      <c r="B330" s="386" t="s">
        <v>435</v>
      </c>
      <c r="C330" s="114"/>
      <c r="D330" s="111" t="s">
        <v>1546</v>
      </c>
      <c r="E330" s="111" t="s">
        <v>1662</v>
      </c>
      <c r="F330" s="111"/>
      <c r="G330" s="110" t="s">
        <v>2073</v>
      </c>
      <c r="H330" s="141">
        <v>526.410799</v>
      </c>
      <c r="I330" s="280"/>
      <c r="J330" s="72">
        <v>148.52000000000001</v>
      </c>
      <c r="K330" s="271">
        <f t="shared" si="15"/>
        <v>78182.531867480007</v>
      </c>
      <c r="L330" s="111"/>
      <c r="M330" s="73"/>
      <c r="N330" s="112"/>
      <c r="O330" s="111"/>
      <c r="P330" s="312">
        <v>0</v>
      </c>
      <c r="Q330" s="288">
        <f t="shared" si="16"/>
        <v>0</v>
      </c>
      <c r="R330" s="118">
        <v>0</v>
      </c>
      <c r="S330" s="283">
        <v>2016</v>
      </c>
      <c r="T330" s="288">
        <f t="shared" si="14"/>
        <v>84718</v>
      </c>
    </row>
    <row r="331" spans="2:20">
      <c r="B331" s="386" t="s">
        <v>436</v>
      </c>
      <c r="C331" s="114"/>
      <c r="D331" s="111" t="s">
        <v>1546</v>
      </c>
      <c r="E331" s="111" t="s">
        <v>1662</v>
      </c>
      <c r="F331" s="111"/>
      <c r="G331" s="110" t="s">
        <v>2073</v>
      </c>
      <c r="H331" s="141">
        <v>59.111122000000002</v>
      </c>
      <c r="I331" s="280"/>
      <c r="J331" s="72">
        <v>148.52000000000001</v>
      </c>
      <c r="K331" s="271">
        <f t="shared" si="15"/>
        <v>8779.1838394400002</v>
      </c>
      <c r="L331" s="111"/>
      <c r="M331" s="73"/>
      <c r="N331" s="112"/>
      <c r="O331" s="111"/>
      <c r="P331" s="312">
        <v>0</v>
      </c>
      <c r="Q331" s="288">
        <f t="shared" si="16"/>
        <v>0</v>
      </c>
      <c r="R331" s="118">
        <v>0</v>
      </c>
      <c r="S331" s="283">
        <v>2016</v>
      </c>
      <c r="T331" s="288">
        <f t="shared" si="14"/>
        <v>9513</v>
      </c>
    </row>
    <row r="332" spans="2:20">
      <c r="B332" s="386" t="s">
        <v>437</v>
      </c>
      <c r="C332" s="114"/>
      <c r="D332" s="111" t="s">
        <v>1546</v>
      </c>
      <c r="E332" s="111" t="s">
        <v>1663</v>
      </c>
      <c r="F332" s="111"/>
      <c r="G332" s="110" t="s">
        <v>2073</v>
      </c>
      <c r="H332" s="141">
        <v>38.027424000000003</v>
      </c>
      <c r="I332" s="280"/>
      <c r="J332" s="72">
        <v>148.52000000000001</v>
      </c>
      <c r="K332" s="271">
        <f t="shared" si="15"/>
        <v>5647.8330124800013</v>
      </c>
      <c r="L332" s="111"/>
      <c r="M332" s="73"/>
      <c r="N332" s="112"/>
      <c r="O332" s="111"/>
      <c r="P332" s="312">
        <v>0</v>
      </c>
      <c r="Q332" s="288">
        <f t="shared" si="16"/>
        <v>0</v>
      </c>
      <c r="R332" s="118">
        <v>0</v>
      </c>
      <c r="S332" s="283">
        <v>2016</v>
      </c>
      <c r="T332" s="288">
        <f t="shared" si="14"/>
        <v>6120</v>
      </c>
    </row>
    <row r="333" spans="2:20">
      <c r="B333" s="386" t="s">
        <v>438</v>
      </c>
      <c r="C333" s="114"/>
      <c r="D333" s="111" t="s">
        <v>1546</v>
      </c>
      <c r="E333" s="111" t="s">
        <v>1664</v>
      </c>
      <c r="F333" s="111"/>
      <c r="G333" s="110" t="s">
        <v>2073</v>
      </c>
      <c r="H333" s="141">
        <v>185.10272900000001</v>
      </c>
      <c r="I333" s="280"/>
      <c r="J333" s="72">
        <v>148.52000000000001</v>
      </c>
      <c r="K333" s="271">
        <f t="shared" si="15"/>
        <v>27491.457311080005</v>
      </c>
      <c r="L333" s="111"/>
      <c r="M333" s="73"/>
      <c r="N333" s="112"/>
      <c r="O333" s="111"/>
      <c r="P333" s="312">
        <v>0</v>
      </c>
      <c r="Q333" s="288">
        <f t="shared" si="16"/>
        <v>0</v>
      </c>
      <c r="R333" s="118">
        <v>0</v>
      </c>
      <c r="S333" s="283">
        <v>2016</v>
      </c>
      <c r="T333" s="288">
        <f t="shared" ref="T333:T396" si="17">IFERROR(ROUND((K333*(1+PPI_Existing)^(YEAR-S333))+(R333*((1+LandInd_Existing)^(YEAR-S333))),0),0)</f>
        <v>29789</v>
      </c>
    </row>
    <row r="334" spans="2:20">
      <c r="B334" s="386" t="s">
        <v>439</v>
      </c>
      <c r="C334" s="114"/>
      <c r="D334" s="111" t="s">
        <v>1546</v>
      </c>
      <c r="E334" s="111" t="s">
        <v>1665</v>
      </c>
      <c r="F334" s="111"/>
      <c r="G334" s="110" t="s">
        <v>2073</v>
      </c>
      <c r="H334" s="141">
        <v>106.244344</v>
      </c>
      <c r="I334" s="280"/>
      <c r="J334" s="72">
        <v>148.52000000000001</v>
      </c>
      <c r="K334" s="271">
        <f t="shared" si="15"/>
        <v>15779.40997088</v>
      </c>
      <c r="L334" s="111"/>
      <c r="M334" s="73"/>
      <c r="N334" s="112"/>
      <c r="O334" s="111"/>
      <c r="P334" s="312">
        <v>0</v>
      </c>
      <c r="Q334" s="288">
        <f t="shared" si="16"/>
        <v>0</v>
      </c>
      <c r="R334" s="118">
        <v>0</v>
      </c>
      <c r="S334" s="283">
        <v>2016</v>
      </c>
      <c r="T334" s="288">
        <f t="shared" si="17"/>
        <v>17098</v>
      </c>
    </row>
    <row r="335" spans="2:20">
      <c r="B335" s="386" t="s">
        <v>440</v>
      </c>
      <c r="C335" s="114"/>
      <c r="D335" s="111" t="s">
        <v>1546</v>
      </c>
      <c r="E335" s="111" t="s">
        <v>1650</v>
      </c>
      <c r="F335" s="111"/>
      <c r="G335" s="110" t="s">
        <v>2073</v>
      </c>
      <c r="H335" s="141">
        <v>82.420911000000004</v>
      </c>
      <c r="I335" s="280"/>
      <c r="J335" s="72">
        <v>148.52000000000001</v>
      </c>
      <c r="K335" s="271">
        <f t="shared" si="15"/>
        <v>12241.153701720001</v>
      </c>
      <c r="L335" s="111"/>
      <c r="M335" s="73"/>
      <c r="N335" s="112"/>
      <c r="O335" s="111"/>
      <c r="P335" s="312">
        <v>0</v>
      </c>
      <c r="Q335" s="288">
        <f t="shared" si="16"/>
        <v>0</v>
      </c>
      <c r="R335" s="118">
        <v>0</v>
      </c>
      <c r="S335" s="283">
        <v>2016</v>
      </c>
      <c r="T335" s="288">
        <f t="shared" si="17"/>
        <v>13264</v>
      </c>
    </row>
    <row r="336" spans="2:20">
      <c r="B336" s="386" t="s">
        <v>441</v>
      </c>
      <c r="C336" s="114"/>
      <c r="D336" s="111" t="s">
        <v>1547</v>
      </c>
      <c r="E336" s="111" t="s">
        <v>1650</v>
      </c>
      <c r="F336" s="111"/>
      <c r="G336" s="110" t="s">
        <v>2073</v>
      </c>
      <c r="H336" s="141">
        <v>15.353766999999999</v>
      </c>
      <c r="I336" s="280"/>
      <c r="J336" s="72">
        <v>148.52000000000001</v>
      </c>
      <c r="K336" s="271">
        <f t="shared" si="15"/>
        <v>2280.34147484</v>
      </c>
      <c r="L336" s="111"/>
      <c r="M336" s="73"/>
      <c r="N336" s="112"/>
      <c r="O336" s="111"/>
      <c r="P336" s="312">
        <v>0</v>
      </c>
      <c r="Q336" s="288">
        <f t="shared" si="16"/>
        <v>0</v>
      </c>
      <c r="R336" s="118">
        <v>0</v>
      </c>
      <c r="S336" s="283">
        <v>2016</v>
      </c>
      <c r="T336" s="288">
        <f t="shared" si="17"/>
        <v>2471</v>
      </c>
    </row>
    <row r="337" spans="2:20">
      <c r="B337" s="386" t="s">
        <v>442</v>
      </c>
      <c r="C337" s="114"/>
      <c r="D337" s="111" t="s">
        <v>1546</v>
      </c>
      <c r="E337" s="111" t="s">
        <v>1666</v>
      </c>
      <c r="F337" s="111"/>
      <c r="G337" s="110" t="s">
        <v>2073</v>
      </c>
      <c r="H337" s="141">
        <v>27.073839</v>
      </c>
      <c r="I337" s="280"/>
      <c r="J337" s="72">
        <v>148.52000000000001</v>
      </c>
      <c r="K337" s="271">
        <f t="shared" si="15"/>
        <v>4021.00656828</v>
      </c>
      <c r="L337" s="111"/>
      <c r="M337" s="73"/>
      <c r="N337" s="112"/>
      <c r="O337" s="111"/>
      <c r="P337" s="312">
        <v>0</v>
      </c>
      <c r="Q337" s="288">
        <f t="shared" si="16"/>
        <v>0</v>
      </c>
      <c r="R337" s="118">
        <v>0</v>
      </c>
      <c r="S337" s="283">
        <v>2016</v>
      </c>
      <c r="T337" s="288">
        <f t="shared" si="17"/>
        <v>4357</v>
      </c>
    </row>
    <row r="338" spans="2:20">
      <c r="B338" s="386" t="s">
        <v>443</v>
      </c>
      <c r="C338" s="114"/>
      <c r="D338" s="111" t="s">
        <v>1547</v>
      </c>
      <c r="E338" s="111" t="s">
        <v>1667</v>
      </c>
      <c r="F338" s="111"/>
      <c r="G338" s="110" t="s">
        <v>2073</v>
      </c>
      <c r="H338" s="141">
        <v>387.501035</v>
      </c>
      <c r="I338" s="280"/>
      <c r="J338" s="72">
        <v>148.52000000000001</v>
      </c>
      <c r="K338" s="271">
        <f t="shared" si="15"/>
        <v>57551.653718200003</v>
      </c>
      <c r="L338" s="111"/>
      <c r="M338" s="73"/>
      <c r="N338" s="112"/>
      <c r="O338" s="111"/>
      <c r="P338" s="312">
        <v>0</v>
      </c>
      <c r="Q338" s="288">
        <f t="shared" si="16"/>
        <v>0</v>
      </c>
      <c r="R338" s="118">
        <v>0</v>
      </c>
      <c r="S338" s="283">
        <v>2016</v>
      </c>
      <c r="T338" s="288">
        <f t="shared" si="17"/>
        <v>62362</v>
      </c>
    </row>
    <row r="339" spans="2:20">
      <c r="B339" s="386" t="s">
        <v>444</v>
      </c>
      <c r="C339" s="114"/>
      <c r="D339" s="111" t="s">
        <v>1546</v>
      </c>
      <c r="E339" s="111" t="s">
        <v>1652</v>
      </c>
      <c r="F339" s="111"/>
      <c r="G339" s="110" t="s">
        <v>2073</v>
      </c>
      <c r="H339" s="141">
        <v>596.215057</v>
      </c>
      <c r="I339" s="280"/>
      <c r="J339" s="72">
        <v>148.52000000000001</v>
      </c>
      <c r="K339" s="271">
        <f t="shared" si="15"/>
        <v>88549.860265640003</v>
      </c>
      <c r="L339" s="111"/>
      <c r="M339" s="73"/>
      <c r="N339" s="112"/>
      <c r="O339" s="111"/>
      <c r="P339" s="312">
        <v>0</v>
      </c>
      <c r="Q339" s="288">
        <f t="shared" si="16"/>
        <v>0</v>
      </c>
      <c r="R339" s="118">
        <v>0</v>
      </c>
      <c r="S339" s="283">
        <v>2016</v>
      </c>
      <c r="T339" s="288">
        <f t="shared" si="17"/>
        <v>95952</v>
      </c>
    </row>
    <row r="340" spans="2:20">
      <c r="B340" s="386" t="s">
        <v>445</v>
      </c>
      <c r="C340" s="114"/>
      <c r="D340" s="111" t="s">
        <v>1546</v>
      </c>
      <c r="E340" s="111" t="s">
        <v>1652</v>
      </c>
      <c r="F340" s="111"/>
      <c r="G340" s="110" t="s">
        <v>2073</v>
      </c>
      <c r="H340" s="141">
        <v>15.526574999999999</v>
      </c>
      <c r="I340" s="280"/>
      <c r="J340" s="72">
        <v>148.52000000000001</v>
      </c>
      <c r="K340" s="271">
        <f t="shared" si="15"/>
        <v>2306.0069189999999</v>
      </c>
      <c r="L340" s="111"/>
      <c r="M340" s="73"/>
      <c r="N340" s="112"/>
      <c r="O340" s="111"/>
      <c r="P340" s="312">
        <v>0</v>
      </c>
      <c r="Q340" s="288">
        <f t="shared" si="16"/>
        <v>0</v>
      </c>
      <c r="R340" s="118">
        <v>0</v>
      </c>
      <c r="S340" s="283">
        <v>2016</v>
      </c>
      <c r="T340" s="288">
        <f t="shared" si="17"/>
        <v>2499</v>
      </c>
    </row>
    <row r="341" spans="2:20">
      <c r="B341" s="386" t="s">
        <v>446</v>
      </c>
      <c r="C341" s="114"/>
      <c r="D341" s="111" t="s">
        <v>1546</v>
      </c>
      <c r="E341" s="111" t="s">
        <v>1652</v>
      </c>
      <c r="F341" s="111"/>
      <c r="G341" s="110" t="s">
        <v>2073</v>
      </c>
      <c r="H341" s="141">
        <v>23.070088999999999</v>
      </c>
      <c r="I341" s="280"/>
      <c r="J341" s="72">
        <v>148.52000000000001</v>
      </c>
      <c r="K341" s="271">
        <f t="shared" si="15"/>
        <v>3426.3696182799999</v>
      </c>
      <c r="L341" s="111"/>
      <c r="M341" s="73"/>
      <c r="N341" s="112"/>
      <c r="O341" s="111"/>
      <c r="P341" s="312">
        <v>0</v>
      </c>
      <c r="Q341" s="288">
        <f t="shared" si="16"/>
        <v>0</v>
      </c>
      <c r="R341" s="118">
        <v>0</v>
      </c>
      <c r="S341" s="283">
        <v>2016</v>
      </c>
      <c r="T341" s="288">
        <f t="shared" si="17"/>
        <v>3713</v>
      </c>
    </row>
    <row r="342" spans="2:20">
      <c r="B342" s="386" t="s">
        <v>447</v>
      </c>
      <c r="C342" s="114"/>
      <c r="D342" s="111" t="s">
        <v>1546</v>
      </c>
      <c r="E342" s="111" t="s">
        <v>1652</v>
      </c>
      <c r="F342" s="111"/>
      <c r="G342" s="110" t="s">
        <v>2073</v>
      </c>
      <c r="H342" s="141">
        <v>16.487005</v>
      </c>
      <c r="I342" s="280"/>
      <c r="J342" s="72">
        <v>148.52000000000001</v>
      </c>
      <c r="K342" s="271">
        <f t="shared" si="15"/>
        <v>2448.6499825999999</v>
      </c>
      <c r="L342" s="111"/>
      <c r="M342" s="73"/>
      <c r="N342" s="112"/>
      <c r="O342" s="111"/>
      <c r="P342" s="312">
        <v>0</v>
      </c>
      <c r="Q342" s="288">
        <f t="shared" si="16"/>
        <v>0</v>
      </c>
      <c r="R342" s="118">
        <v>0</v>
      </c>
      <c r="S342" s="283">
        <v>2016</v>
      </c>
      <c r="T342" s="288">
        <f t="shared" si="17"/>
        <v>2653</v>
      </c>
    </row>
    <row r="343" spans="2:20">
      <c r="B343" s="386" t="s">
        <v>448</v>
      </c>
      <c r="C343" s="114"/>
      <c r="D343" s="111" t="s">
        <v>1546</v>
      </c>
      <c r="E343" s="111" t="s">
        <v>1668</v>
      </c>
      <c r="F343" s="111"/>
      <c r="G343" s="110" t="s">
        <v>2073</v>
      </c>
      <c r="H343" s="141">
        <v>45.874326000000003</v>
      </c>
      <c r="I343" s="280"/>
      <c r="J343" s="72">
        <v>148.52000000000001</v>
      </c>
      <c r="K343" s="271">
        <f t="shared" si="15"/>
        <v>6813.2548975200007</v>
      </c>
      <c r="L343" s="111"/>
      <c r="M343" s="73"/>
      <c r="N343" s="112"/>
      <c r="O343" s="111"/>
      <c r="P343" s="312">
        <v>0</v>
      </c>
      <c r="Q343" s="288">
        <f t="shared" si="16"/>
        <v>0</v>
      </c>
      <c r="R343" s="118">
        <v>0</v>
      </c>
      <c r="S343" s="283">
        <v>2016</v>
      </c>
      <c r="T343" s="288">
        <f t="shared" si="17"/>
        <v>7383</v>
      </c>
    </row>
    <row r="344" spans="2:20">
      <c r="B344" s="386" t="s">
        <v>449</v>
      </c>
      <c r="C344" s="114"/>
      <c r="D344" s="111" t="s">
        <v>1546</v>
      </c>
      <c r="E344" s="111" t="s">
        <v>1669</v>
      </c>
      <c r="F344" s="111"/>
      <c r="G344" s="110" t="s">
        <v>2073</v>
      </c>
      <c r="H344" s="141">
        <v>193.93875800000001</v>
      </c>
      <c r="I344" s="280"/>
      <c r="J344" s="72">
        <v>148.52000000000001</v>
      </c>
      <c r="K344" s="271">
        <f t="shared" si="15"/>
        <v>28803.784338160003</v>
      </c>
      <c r="L344" s="111"/>
      <c r="M344" s="73"/>
      <c r="N344" s="112"/>
      <c r="O344" s="111"/>
      <c r="P344" s="312">
        <v>52.479290599999999</v>
      </c>
      <c r="Q344" s="288">
        <f t="shared" si="16"/>
        <v>225.00000028582701</v>
      </c>
      <c r="R344" s="118">
        <v>11807.840399999999</v>
      </c>
      <c r="S344" s="283">
        <v>2016</v>
      </c>
      <c r="T344" s="288">
        <f t="shared" si="17"/>
        <v>44027</v>
      </c>
    </row>
    <row r="345" spans="2:20">
      <c r="B345" s="386" t="s">
        <v>450</v>
      </c>
      <c r="C345" s="114"/>
      <c r="D345" s="111" t="s">
        <v>1546</v>
      </c>
      <c r="E345" s="111" t="s">
        <v>1669</v>
      </c>
      <c r="F345" s="111"/>
      <c r="G345" s="110" t="s">
        <v>2074</v>
      </c>
      <c r="H345" s="141">
        <v>11.897651</v>
      </c>
      <c r="I345" s="280"/>
      <c r="J345" s="72">
        <v>148.52000000000001</v>
      </c>
      <c r="K345" s="271">
        <f t="shared" si="15"/>
        <v>1767.0391265200001</v>
      </c>
      <c r="L345" s="111"/>
      <c r="M345" s="73"/>
      <c r="N345" s="112"/>
      <c r="O345" s="111"/>
      <c r="P345" s="312">
        <v>0</v>
      </c>
      <c r="Q345" s="288">
        <f t="shared" si="16"/>
        <v>0</v>
      </c>
      <c r="R345" s="118">
        <v>0</v>
      </c>
      <c r="S345" s="283">
        <v>2016</v>
      </c>
      <c r="T345" s="288">
        <f t="shared" si="17"/>
        <v>1915</v>
      </c>
    </row>
    <row r="346" spans="2:20">
      <c r="B346" s="386" t="s">
        <v>451</v>
      </c>
      <c r="C346" s="114"/>
      <c r="D346" s="111" t="s">
        <v>1546</v>
      </c>
      <c r="E346" s="111" t="s">
        <v>1670</v>
      </c>
      <c r="F346" s="111"/>
      <c r="G346" s="110" t="s">
        <v>2073</v>
      </c>
      <c r="H346" s="141">
        <v>636.84121600000003</v>
      </c>
      <c r="I346" s="280"/>
      <c r="J346" s="72">
        <v>148.52000000000001</v>
      </c>
      <c r="K346" s="271">
        <f t="shared" si="15"/>
        <v>94583.657400320008</v>
      </c>
      <c r="L346" s="111"/>
      <c r="M346" s="73"/>
      <c r="N346" s="112"/>
      <c r="O346" s="111"/>
      <c r="P346" s="312">
        <v>0</v>
      </c>
      <c r="Q346" s="288">
        <f t="shared" si="16"/>
        <v>0</v>
      </c>
      <c r="R346" s="118">
        <v>0</v>
      </c>
      <c r="S346" s="283">
        <v>2016</v>
      </c>
      <c r="T346" s="288">
        <f t="shared" si="17"/>
        <v>102490</v>
      </c>
    </row>
    <row r="347" spans="2:20">
      <c r="B347" s="386" t="s">
        <v>452</v>
      </c>
      <c r="C347" s="114"/>
      <c r="D347" s="111" t="s">
        <v>1546</v>
      </c>
      <c r="E347" s="111" t="s">
        <v>1671</v>
      </c>
      <c r="F347" s="111"/>
      <c r="G347" s="110" t="s">
        <v>2073</v>
      </c>
      <c r="H347" s="141">
        <v>511.56590399999999</v>
      </c>
      <c r="I347" s="280"/>
      <c r="J347" s="72">
        <v>148.52000000000001</v>
      </c>
      <c r="K347" s="271">
        <f t="shared" si="15"/>
        <v>75977.768062080009</v>
      </c>
      <c r="L347" s="111"/>
      <c r="M347" s="73"/>
      <c r="N347" s="112"/>
      <c r="O347" s="111"/>
      <c r="P347" s="312">
        <v>1740.0246400000001</v>
      </c>
      <c r="Q347" s="288">
        <f t="shared" si="16"/>
        <v>292.57591432728213</v>
      </c>
      <c r="R347" s="118">
        <v>509089.3</v>
      </c>
      <c r="S347" s="283">
        <v>2016</v>
      </c>
      <c r="T347" s="288">
        <f t="shared" si="17"/>
        <v>634871</v>
      </c>
    </row>
    <row r="348" spans="2:20">
      <c r="B348" s="386" t="s">
        <v>453</v>
      </c>
      <c r="C348" s="114"/>
      <c r="D348" s="111" t="s">
        <v>1546</v>
      </c>
      <c r="E348" s="111" t="s">
        <v>1672</v>
      </c>
      <c r="F348" s="111"/>
      <c r="G348" s="110" t="s">
        <v>2073</v>
      </c>
      <c r="H348" s="141">
        <v>73.374379000000005</v>
      </c>
      <c r="I348" s="280"/>
      <c r="J348" s="72">
        <v>148.52000000000001</v>
      </c>
      <c r="K348" s="271">
        <f t="shared" si="15"/>
        <v>10897.562769080001</v>
      </c>
      <c r="L348" s="111"/>
      <c r="M348" s="73"/>
      <c r="N348" s="112"/>
      <c r="O348" s="111"/>
      <c r="P348" s="312">
        <v>0</v>
      </c>
      <c r="Q348" s="288">
        <f t="shared" si="16"/>
        <v>0</v>
      </c>
      <c r="R348" s="118">
        <v>0</v>
      </c>
      <c r="S348" s="283">
        <v>2016</v>
      </c>
      <c r="T348" s="288">
        <f t="shared" si="17"/>
        <v>11808</v>
      </c>
    </row>
    <row r="349" spans="2:20">
      <c r="B349" s="386" t="s">
        <v>454</v>
      </c>
      <c r="C349" s="114"/>
      <c r="D349" s="111" t="s">
        <v>1546</v>
      </c>
      <c r="E349" s="111" t="s">
        <v>1672</v>
      </c>
      <c r="F349" s="111"/>
      <c r="G349" s="110" t="s">
        <v>2073</v>
      </c>
      <c r="H349" s="141">
        <v>238.914952</v>
      </c>
      <c r="I349" s="280"/>
      <c r="J349" s="72">
        <v>148.52000000000001</v>
      </c>
      <c r="K349" s="271">
        <f t="shared" si="15"/>
        <v>35483.648671040006</v>
      </c>
      <c r="L349" s="111"/>
      <c r="M349" s="73"/>
      <c r="N349" s="112"/>
      <c r="O349" s="111"/>
      <c r="P349" s="312">
        <v>0</v>
      </c>
      <c r="Q349" s="288">
        <f t="shared" si="16"/>
        <v>0</v>
      </c>
      <c r="R349" s="118">
        <v>0</v>
      </c>
      <c r="S349" s="283">
        <v>2016</v>
      </c>
      <c r="T349" s="288">
        <f t="shared" si="17"/>
        <v>38450</v>
      </c>
    </row>
    <row r="350" spans="2:20">
      <c r="B350" s="386" t="s">
        <v>455</v>
      </c>
      <c r="C350" s="114"/>
      <c r="D350" s="111" t="s">
        <v>1546</v>
      </c>
      <c r="E350" s="111" t="s">
        <v>1673</v>
      </c>
      <c r="F350" s="111"/>
      <c r="G350" s="110" t="s">
        <v>2073</v>
      </c>
      <c r="H350" s="141">
        <v>1162.2833350000001</v>
      </c>
      <c r="I350" s="280"/>
      <c r="J350" s="72">
        <v>148.52000000000001</v>
      </c>
      <c r="K350" s="271">
        <f t="shared" si="15"/>
        <v>172622.32091420001</v>
      </c>
      <c r="L350" s="111"/>
      <c r="M350" s="73"/>
      <c r="N350" s="112"/>
      <c r="O350" s="111"/>
      <c r="P350" s="312">
        <v>0</v>
      </c>
      <c r="Q350" s="288">
        <f t="shared" si="16"/>
        <v>0</v>
      </c>
      <c r="R350" s="118">
        <v>0</v>
      </c>
      <c r="S350" s="283">
        <v>2016</v>
      </c>
      <c r="T350" s="288">
        <f t="shared" si="17"/>
        <v>187052</v>
      </c>
    </row>
    <row r="351" spans="2:20">
      <c r="B351" s="386" t="s">
        <v>456</v>
      </c>
      <c r="C351" s="114"/>
      <c r="D351" s="111" t="s">
        <v>1547</v>
      </c>
      <c r="E351" s="111" t="s">
        <v>1674</v>
      </c>
      <c r="F351" s="111"/>
      <c r="G351" s="110" t="s">
        <v>2073</v>
      </c>
      <c r="H351" s="141">
        <v>69.828348000000005</v>
      </c>
      <c r="I351" s="280"/>
      <c r="J351" s="72">
        <v>148.52000000000001</v>
      </c>
      <c r="K351" s="271">
        <f t="shared" si="15"/>
        <v>10370.906244960002</v>
      </c>
      <c r="L351" s="111"/>
      <c r="M351" s="73"/>
      <c r="N351" s="112"/>
      <c r="O351" s="111"/>
      <c r="P351" s="312">
        <v>0</v>
      </c>
      <c r="Q351" s="288">
        <f t="shared" si="16"/>
        <v>0</v>
      </c>
      <c r="R351" s="118">
        <v>0</v>
      </c>
      <c r="S351" s="283">
        <v>2016</v>
      </c>
      <c r="T351" s="288">
        <f t="shared" si="17"/>
        <v>11238</v>
      </c>
    </row>
    <row r="352" spans="2:20">
      <c r="B352" s="386" t="s">
        <v>457</v>
      </c>
      <c r="C352" s="114"/>
      <c r="D352" s="111" t="s">
        <v>1546</v>
      </c>
      <c r="E352" s="111" t="s">
        <v>1577</v>
      </c>
      <c r="F352" s="111"/>
      <c r="G352" s="110" t="s">
        <v>2073</v>
      </c>
      <c r="H352" s="141">
        <v>171.15741</v>
      </c>
      <c r="I352" s="280"/>
      <c r="J352" s="72">
        <v>148.52000000000001</v>
      </c>
      <c r="K352" s="271">
        <f t="shared" si="15"/>
        <v>25420.298533200003</v>
      </c>
      <c r="L352" s="111"/>
      <c r="M352" s="73"/>
      <c r="N352" s="112"/>
      <c r="O352" s="111"/>
      <c r="P352" s="312">
        <v>0</v>
      </c>
      <c r="Q352" s="288">
        <f t="shared" si="16"/>
        <v>0</v>
      </c>
      <c r="R352" s="118">
        <v>0</v>
      </c>
      <c r="S352" s="283">
        <v>2016</v>
      </c>
      <c r="T352" s="288">
        <f t="shared" si="17"/>
        <v>27545</v>
      </c>
    </row>
    <row r="353" spans="2:20">
      <c r="B353" s="386" t="s">
        <v>458</v>
      </c>
      <c r="C353" s="114"/>
      <c r="D353" s="111" t="s">
        <v>1546</v>
      </c>
      <c r="E353" s="111" t="s">
        <v>1577</v>
      </c>
      <c r="F353" s="111"/>
      <c r="G353" s="110" t="s">
        <v>2073</v>
      </c>
      <c r="H353" s="141">
        <v>240.780666</v>
      </c>
      <c r="I353" s="280"/>
      <c r="J353" s="72">
        <v>148.52000000000001</v>
      </c>
      <c r="K353" s="271">
        <f t="shared" si="15"/>
        <v>35760.744514320002</v>
      </c>
      <c r="L353" s="111"/>
      <c r="M353" s="73"/>
      <c r="N353" s="112"/>
      <c r="O353" s="111"/>
      <c r="P353" s="312">
        <v>0</v>
      </c>
      <c r="Q353" s="288">
        <f t="shared" si="16"/>
        <v>0</v>
      </c>
      <c r="R353" s="118">
        <v>0</v>
      </c>
      <c r="S353" s="283">
        <v>2016</v>
      </c>
      <c r="T353" s="288">
        <f t="shared" si="17"/>
        <v>38750</v>
      </c>
    </row>
    <row r="354" spans="2:20">
      <c r="B354" s="386" t="s">
        <v>459</v>
      </c>
      <c r="C354" s="114"/>
      <c r="D354" s="111" t="s">
        <v>1547</v>
      </c>
      <c r="E354" s="111" t="s">
        <v>1675</v>
      </c>
      <c r="F354" s="111"/>
      <c r="G354" s="110" t="s">
        <v>2073</v>
      </c>
      <c r="H354" s="141">
        <v>46.155684000000001</v>
      </c>
      <c r="I354" s="280"/>
      <c r="J354" s="72">
        <v>148.52000000000001</v>
      </c>
      <c r="K354" s="271">
        <f t="shared" si="15"/>
        <v>6855.042187680001</v>
      </c>
      <c r="L354" s="111"/>
      <c r="M354" s="73"/>
      <c r="N354" s="112"/>
      <c r="O354" s="111"/>
      <c r="P354" s="312">
        <v>0</v>
      </c>
      <c r="Q354" s="288">
        <f t="shared" si="16"/>
        <v>0</v>
      </c>
      <c r="R354" s="118">
        <v>0</v>
      </c>
      <c r="S354" s="283">
        <v>2016</v>
      </c>
      <c r="T354" s="288">
        <f t="shared" si="17"/>
        <v>7428</v>
      </c>
    </row>
    <row r="355" spans="2:20">
      <c r="B355" s="386" t="s">
        <v>460</v>
      </c>
      <c r="C355" s="114"/>
      <c r="D355" s="111" t="s">
        <v>1547</v>
      </c>
      <c r="E355" s="111" t="s">
        <v>1676</v>
      </c>
      <c r="F355" s="111"/>
      <c r="G355" s="110" t="s">
        <v>2073</v>
      </c>
      <c r="H355" s="141">
        <v>81.385551000000007</v>
      </c>
      <c r="I355" s="280"/>
      <c r="J355" s="72">
        <v>148.52000000000001</v>
      </c>
      <c r="K355" s="271">
        <f t="shared" si="15"/>
        <v>12087.382034520002</v>
      </c>
      <c r="L355" s="111"/>
      <c r="M355" s="73"/>
      <c r="N355" s="112"/>
      <c r="O355" s="111"/>
      <c r="P355" s="312">
        <v>0</v>
      </c>
      <c r="Q355" s="288">
        <f t="shared" si="16"/>
        <v>0</v>
      </c>
      <c r="R355" s="118">
        <v>0</v>
      </c>
      <c r="S355" s="283">
        <v>2016</v>
      </c>
      <c r="T355" s="288">
        <f t="shared" si="17"/>
        <v>13098</v>
      </c>
    </row>
    <row r="356" spans="2:20">
      <c r="B356" s="386" t="s">
        <v>461</v>
      </c>
      <c r="C356" s="114"/>
      <c r="D356" s="111" t="s">
        <v>1547</v>
      </c>
      <c r="E356" s="111" t="s">
        <v>1676</v>
      </c>
      <c r="F356" s="111"/>
      <c r="G356" s="110" t="s">
        <v>2073</v>
      </c>
      <c r="H356" s="141">
        <v>802.52374699999996</v>
      </c>
      <c r="I356" s="280"/>
      <c r="J356" s="72">
        <v>148.52000000000001</v>
      </c>
      <c r="K356" s="271">
        <f t="shared" si="15"/>
        <v>119190.82690444001</v>
      </c>
      <c r="L356" s="111"/>
      <c r="M356" s="73"/>
      <c r="N356" s="112"/>
      <c r="O356" s="111"/>
      <c r="P356" s="312">
        <v>0</v>
      </c>
      <c r="Q356" s="288">
        <f t="shared" si="16"/>
        <v>0</v>
      </c>
      <c r="R356" s="118">
        <v>0</v>
      </c>
      <c r="S356" s="283">
        <v>2016</v>
      </c>
      <c r="T356" s="288">
        <f t="shared" si="17"/>
        <v>129154</v>
      </c>
    </row>
    <row r="357" spans="2:20">
      <c r="B357" s="386" t="s">
        <v>462</v>
      </c>
      <c r="C357" s="114"/>
      <c r="D357" s="111" t="s">
        <v>1546</v>
      </c>
      <c r="E357" s="111" t="s">
        <v>1677</v>
      </c>
      <c r="F357" s="111"/>
      <c r="G357" s="110" t="s">
        <v>2073</v>
      </c>
      <c r="H357" s="141">
        <v>23.580494000000002</v>
      </c>
      <c r="I357" s="280"/>
      <c r="J357" s="72">
        <v>148.52000000000001</v>
      </c>
      <c r="K357" s="271">
        <f t="shared" si="15"/>
        <v>3502.1749688800005</v>
      </c>
      <c r="L357" s="111"/>
      <c r="M357" s="73"/>
      <c r="N357" s="112"/>
      <c r="O357" s="111"/>
      <c r="P357" s="312">
        <v>0</v>
      </c>
      <c r="Q357" s="288">
        <f t="shared" si="16"/>
        <v>0</v>
      </c>
      <c r="R357" s="118">
        <v>0</v>
      </c>
      <c r="S357" s="283">
        <v>2016</v>
      </c>
      <c r="T357" s="288">
        <f t="shared" si="17"/>
        <v>3795</v>
      </c>
    </row>
    <row r="358" spans="2:20">
      <c r="B358" s="386" t="s">
        <v>463</v>
      </c>
      <c r="C358" s="114"/>
      <c r="D358" s="111" t="s">
        <v>1546</v>
      </c>
      <c r="E358" s="111" t="s">
        <v>1677</v>
      </c>
      <c r="F358" s="111"/>
      <c r="G358" s="110" t="s">
        <v>2073</v>
      </c>
      <c r="H358" s="141">
        <v>57.894751999999997</v>
      </c>
      <c r="I358" s="280"/>
      <c r="J358" s="72">
        <v>148.52000000000001</v>
      </c>
      <c r="K358" s="271">
        <f t="shared" si="15"/>
        <v>8598.5285670400008</v>
      </c>
      <c r="L358" s="111"/>
      <c r="M358" s="73"/>
      <c r="N358" s="112"/>
      <c r="O358" s="111"/>
      <c r="P358" s="312">
        <v>0</v>
      </c>
      <c r="Q358" s="288">
        <f t="shared" si="16"/>
        <v>0</v>
      </c>
      <c r="R358" s="118">
        <v>0</v>
      </c>
      <c r="S358" s="283">
        <v>2016</v>
      </c>
      <c r="T358" s="288">
        <f t="shared" si="17"/>
        <v>9317</v>
      </c>
    </row>
    <row r="359" spans="2:20">
      <c r="B359" s="386" t="s">
        <v>464</v>
      </c>
      <c r="C359" s="114"/>
      <c r="D359" s="111" t="s">
        <v>1547</v>
      </c>
      <c r="E359" s="111" t="s">
        <v>1677</v>
      </c>
      <c r="F359" s="111"/>
      <c r="G359" s="110" t="s">
        <v>2073</v>
      </c>
      <c r="H359" s="141">
        <v>226.104859</v>
      </c>
      <c r="I359" s="280"/>
      <c r="J359" s="72">
        <v>148.52000000000001</v>
      </c>
      <c r="K359" s="271">
        <f t="shared" si="15"/>
        <v>33581.093658680002</v>
      </c>
      <c r="L359" s="111"/>
      <c r="M359" s="73"/>
      <c r="N359" s="112"/>
      <c r="O359" s="111"/>
      <c r="P359" s="312">
        <v>0</v>
      </c>
      <c r="Q359" s="288">
        <f t="shared" si="16"/>
        <v>0</v>
      </c>
      <c r="R359" s="118">
        <v>0</v>
      </c>
      <c r="S359" s="283">
        <v>2016</v>
      </c>
      <c r="T359" s="288">
        <f t="shared" si="17"/>
        <v>36388</v>
      </c>
    </row>
    <row r="360" spans="2:20">
      <c r="B360" s="386" t="s">
        <v>465</v>
      </c>
      <c r="C360" s="114"/>
      <c r="D360" s="111" t="s">
        <v>1546</v>
      </c>
      <c r="E360" s="111" t="s">
        <v>1678</v>
      </c>
      <c r="F360" s="111"/>
      <c r="G360" s="110" t="s">
        <v>2073</v>
      </c>
      <c r="H360" s="141">
        <v>644.67988500000001</v>
      </c>
      <c r="I360" s="280"/>
      <c r="J360" s="72">
        <v>148.52000000000001</v>
      </c>
      <c r="K360" s="271">
        <f t="shared" si="15"/>
        <v>95747.856520200003</v>
      </c>
      <c r="L360" s="111"/>
      <c r="M360" s="73"/>
      <c r="N360" s="112"/>
      <c r="O360" s="111"/>
      <c r="P360" s="312">
        <v>0</v>
      </c>
      <c r="Q360" s="288">
        <f t="shared" si="16"/>
        <v>0</v>
      </c>
      <c r="R360" s="118">
        <v>0</v>
      </c>
      <c r="S360" s="283">
        <v>2016</v>
      </c>
      <c r="T360" s="288">
        <f t="shared" si="17"/>
        <v>103751</v>
      </c>
    </row>
    <row r="361" spans="2:20">
      <c r="B361" s="386" t="s">
        <v>466</v>
      </c>
      <c r="C361" s="114"/>
      <c r="D361" s="111" t="s">
        <v>1546</v>
      </c>
      <c r="E361" s="111" t="s">
        <v>1679</v>
      </c>
      <c r="F361" s="111"/>
      <c r="G361" s="110" t="s">
        <v>2073</v>
      </c>
      <c r="H361" s="141">
        <v>391.82241199999999</v>
      </c>
      <c r="I361" s="280"/>
      <c r="J361" s="72">
        <v>148.52000000000001</v>
      </c>
      <c r="K361" s="271">
        <f t="shared" si="15"/>
        <v>58193.46463024</v>
      </c>
      <c r="L361" s="111"/>
      <c r="M361" s="73"/>
      <c r="N361" s="112"/>
      <c r="O361" s="111"/>
      <c r="P361" s="312">
        <v>0</v>
      </c>
      <c r="Q361" s="288">
        <f t="shared" si="16"/>
        <v>0</v>
      </c>
      <c r="R361" s="118">
        <v>0</v>
      </c>
      <c r="S361" s="283">
        <v>2016</v>
      </c>
      <c r="T361" s="288">
        <f t="shared" si="17"/>
        <v>63058</v>
      </c>
    </row>
    <row r="362" spans="2:20">
      <c r="B362" s="386" t="s">
        <v>467</v>
      </c>
      <c r="C362" s="114"/>
      <c r="D362" s="111" t="s">
        <v>1546</v>
      </c>
      <c r="E362" s="111" t="s">
        <v>1680</v>
      </c>
      <c r="F362" s="111"/>
      <c r="G362" s="110" t="s">
        <v>2073</v>
      </c>
      <c r="H362" s="141">
        <v>37.695864</v>
      </c>
      <c r="I362" s="280"/>
      <c r="J362" s="72">
        <v>148.52000000000001</v>
      </c>
      <c r="K362" s="271">
        <f t="shared" si="15"/>
        <v>5598.58972128</v>
      </c>
      <c r="L362" s="111"/>
      <c r="M362" s="73"/>
      <c r="N362" s="112"/>
      <c r="O362" s="111"/>
      <c r="P362" s="312">
        <v>0</v>
      </c>
      <c r="Q362" s="288">
        <f t="shared" si="16"/>
        <v>0</v>
      </c>
      <c r="R362" s="118">
        <v>0</v>
      </c>
      <c r="S362" s="283">
        <v>2016</v>
      </c>
      <c r="T362" s="288">
        <f t="shared" si="17"/>
        <v>6067</v>
      </c>
    </row>
    <row r="363" spans="2:20">
      <c r="B363" s="386" t="s">
        <v>468</v>
      </c>
      <c r="C363" s="114"/>
      <c r="D363" s="111" t="s">
        <v>1546</v>
      </c>
      <c r="E363" s="111" t="s">
        <v>1680</v>
      </c>
      <c r="F363" s="111"/>
      <c r="G363" s="110" t="s">
        <v>2073</v>
      </c>
      <c r="H363" s="141">
        <v>254.30690899999999</v>
      </c>
      <c r="I363" s="280"/>
      <c r="J363" s="72">
        <v>148.52000000000001</v>
      </c>
      <c r="K363" s="271">
        <f t="shared" si="15"/>
        <v>37769.662124679999</v>
      </c>
      <c r="L363" s="111"/>
      <c r="M363" s="73"/>
      <c r="N363" s="112"/>
      <c r="O363" s="111"/>
      <c r="P363" s="312">
        <v>0</v>
      </c>
      <c r="Q363" s="288">
        <f t="shared" si="16"/>
        <v>0</v>
      </c>
      <c r="R363" s="118">
        <v>0</v>
      </c>
      <c r="S363" s="283">
        <v>2016</v>
      </c>
      <c r="T363" s="288">
        <f t="shared" si="17"/>
        <v>40927</v>
      </c>
    </row>
    <row r="364" spans="2:20">
      <c r="B364" s="386" t="s">
        <v>469</v>
      </c>
      <c r="C364" s="114"/>
      <c r="D364" s="111" t="s">
        <v>1546</v>
      </c>
      <c r="E364" s="111" t="s">
        <v>1680</v>
      </c>
      <c r="F364" s="111"/>
      <c r="G364" s="110" t="s">
        <v>2073</v>
      </c>
      <c r="H364" s="141">
        <v>115.839287</v>
      </c>
      <c r="I364" s="280"/>
      <c r="J364" s="72">
        <v>148.52000000000001</v>
      </c>
      <c r="K364" s="271">
        <f t="shared" si="15"/>
        <v>17204.450905240003</v>
      </c>
      <c r="L364" s="111"/>
      <c r="M364" s="73"/>
      <c r="N364" s="112"/>
      <c r="O364" s="111"/>
      <c r="P364" s="312">
        <v>0</v>
      </c>
      <c r="Q364" s="288">
        <f t="shared" si="16"/>
        <v>0</v>
      </c>
      <c r="R364" s="118">
        <v>0</v>
      </c>
      <c r="S364" s="283">
        <v>2016</v>
      </c>
      <c r="T364" s="288">
        <f t="shared" si="17"/>
        <v>18643</v>
      </c>
    </row>
    <row r="365" spans="2:20">
      <c r="B365" s="386" t="s">
        <v>470</v>
      </c>
      <c r="C365" s="114"/>
      <c r="D365" s="111" t="s">
        <v>1546</v>
      </c>
      <c r="E365" s="111" t="s">
        <v>1556</v>
      </c>
      <c r="F365" s="111"/>
      <c r="G365" s="110" t="s">
        <v>2073</v>
      </c>
      <c r="H365" s="141">
        <v>17.315691000000001</v>
      </c>
      <c r="I365" s="280"/>
      <c r="J365" s="72">
        <v>148.52000000000001</v>
      </c>
      <c r="K365" s="271">
        <f t="shared" si="15"/>
        <v>2571.7264273200003</v>
      </c>
      <c r="L365" s="111"/>
      <c r="M365" s="73"/>
      <c r="N365" s="112"/>
      <c r="O365" s="111"/>
      <c r="P365" s="312">
        <v>0</v>
      </c>
      <c r="Q365" s="288">
        <f t="shared" si="16"/>
        <v>0</v>
      </c>
      <c r="R365" s="118">
        <v>0</v>
      </c>
      <c r="S365" s="283">
        <v>2016</v>
      </c>
      <c r="T365" s="288">
        <f t="shared" si="17"/>
        <v>2787</v>
      </c>
    </row>
    <row r="366" spans="2:20">
      <c r="B366" s="386" t="s">
        <v>471</v>
      </c>
      <c r="C366" s="114"/>
      <c r="D366" s="111" t="s">
        <v>1546</v>
      </c>
      <c r="E366" s="111" t="s">
        <v>1556</v>
      </c>
      <c r="F366" s="111"/>
      <c r="G366" s="110" t="s">
        <v>2073</v>
      </c>
      <c r="H366" s="141">
        <v>8.9692170000000004</v>
      </c>
      <c r="I366" s="280"/>
      <c r="J366" s="72">
        <v>148.52000000000001</v>
      </c>
      <c r="K366" s="271">
        <f t="shared" si="15"/>
        <v>1332.1081088400001</v>
      </c>
      <c r="L366" s="111"/>
      <c r="M366" s="73"/>
      <c r="N366" s="112"/>
      <c r="O366" s="111"/>
      <c r="P366" s="312">
        <v>0</v>
      </c>
      <c r="Q366" s="288">
        <f t="shared" si="16"/>
        <v>0</v>
      </c>
      <c r="R366" s="118">
        <v>0</v>
      </c>
      <c r="S366" s="283">
        <v>2016</v>
      </c>
      <c r="T366" s="288">
        <f t="shared" si="17"/>
        <v>1443</v>
      </c>
    </row>
    <row r="367" spans="2:20">
      <c r="B367" s="386" t="s">
        <v>472</v>
      </c>
      <c r="C367" s="114"/>
      <c r="D367" s="111" t="s">
        <v>1546</v>
      </c>
      <c r="E367" s="111" t="s">
        <v>1556</v>
      </c>
      <c r="F367" s="111"/>
      <c r="G367" s="110" t="s">
        <v>2073</v>
      </c>
      <c r="H367" s="141">
        <v>10.93413</v>
      </c>
      <c r="I367" s="280"/>
      <c r="J367" s="72">
        <v>148.52000000000001</v>
      </c>
      <c r="K367" s="271">
        <f t="shared" si="15"/>
        <v>1623.9369876000001</v>
      </c>
      <c r="L367" s="111"/>
      <c r="M367" s="73"/>
      <c r="N367" s="112"/>
      <c r="O367" s="111"/>
      <c r="P367" s="312">
        <v>0</v>
      </c>
      <c r="Q367" s="288">
        <f t="shared" si="16"/>
        <v>0</v>
      </c>
      <c r="R367" s="118">
        <v>0</v>
      </c>
      <c r="S367" s="283">
        <v>2016</v>
      </c>
      <c r="T367" s="288">
        <f t="shared" si="17"/>
        <v>1760</v>
      </c>
    </row>
    <row r="368" spans="2:20">
      <c r="B368" s="386" t="s">
        <v>473</v>
      </c>
      <c r="C368" s="114"/>
      <c r="D368" s="111" t="s">
        <v>1546</v>
      </c>
      <c r="E368" s="111" t="s">
        <v>1556</v>
      </c>
      <c r="F368" s="111"/>
      <c r="G368" s="110" t="s">
        <v>2073</v>
      </c>
      <c r="H368" s="141">
        <v>302.00632000000002</v>
      </c>
      <c r="I368" s="280"/>
      <c r="J368" s="72">
        <v>148.52000000000001</v>
      </c>
      <c r="K368" s="271">
        <f t="shared" si="15"/>
        <v>44853.978646400006</v>
      </c>
      <c r="L368" s="111"/>
      <c r="M368" s="73"/>
      <c r="N368" s="112"/>
      <c r="O368" s="111"/>
      <c r="P368" s="312">
        <v>0</v>
      </c>
      <c r="Q368" s="288">
        <f t="shared" si="16"/>
        <v>0</v>
      </c>
      <c r="R368" s="118">
        <v>0</v>
      </c>
      <c r="S368" s="283">
        <v>2016</v>
      </c>
      <c r="T368" s="288">
        <f t="shared" si="17"/>
        <v>48603</v>
      </c>
    </row>
    <row r="369" spans="2:20">
      <c r="B369" s="386" t="s">
        <v>474</v>
      </c>
      <c r="C369" s="114"/>
      <c r="D369" s="111" t="s">
        <v>1546</v>
      </c>
      <c r="E369" s="111" t="s">
        <v>1556</v>
      </c>
      <c r="F369" s="111"/>
      <c r="G369" s="110" t="s">
        <v>2074</v>
      </c>
      <c r="H369" s="141">
        <v>33.419158000000003</v>
      </c>
      <c r="I369" s="280"/>
      <c r="J369" s="72">
        <v>148.52000000000001</v>
      </c>
      <c r="K369" s="271">
        <f t="shared" si="15"/>
        <v>4963.4133461600004</v>
      </c>
      <c r="L369" s="111"/>
      <c r="M369" s="73"/>
      <c r="N369" s="112"/>
      <c r="O369" s="111"/>
      <c r="P369" s="312">
        <v>0</v>
      </c>
      <c r="Q369" s="288">
        <f t="shared" si="16"/>
        <v>0</v>
      </c>
      <c r="R369" s="118">
        <v>0</v>
      </c>
      <c r="S369" s="283">
        <v>2016</v>
      </c>
      <c r="T369" s="288">
        <f t="shared" si="17"/>
        <v>5378</v>
      </c>
    </row>
    <row r="370" spans="2:20">
      <c r="B370" s="386" t="s">
        <v>475</v>
      </c>
      <c r="C370" s="114"/>
      <c r="D370" s="111" t="s">
        <v>1546</v>
      </c>
      <c r="E370" s="111" t="s">
        <v>1556</v>
      </c>
      <c r="F370" s="111"/>
      <c r="G370" s="110" t="s">
        <v>2074</v>
      </c>
      <c r="H370" s="141">
        <v>233.14102700000001</v>
      </c>
      <c r="I370" s="280"/>
      <c r="J370" s="72">
        <v>148.52000000000001</v>
      </c>
      <c r="K370" s="271">
        <f t="shared" si="15"/>
        <v>34626.105330040002</v>
      </c>
      <c r="L370" s="111"/>
      <c r="M370" s="73"/>
      <c r="N370" s="112"/>
      <c r="O370" s="111"/>
      <c r="P370" s="312">
        <v>0</v>
      </c>
      <c r="Q370" s="288">
        <f t="shared" si="16"/>
        <v>0</v>
      </c>
      <c r="R370" s="118">
        <v>0</v>
      </c>
      <c r="S370" s="283">
        <v>2016</v>
      </c>
      <c r="T370" s="288">
        <f t="shared" si="17"/>
        <v>37520</v>
      </c>
    </row>
    <row r="371" spans="2:20">
      <c r="B371" s="386" t="s">
        <v>476</v>
      </c>
      <c r="C371" s="114"/>
      <c r="D371" s="111" t="s">
        <v>1546</v>
      </c>
      <c r="E371" s="111" t="s">
        <v>1556</v>
      </c>
      <c r="F371" s="111"/>
      <c r="G371" s="110" t="s">
        <v>2074</v>
      </c>
      <c r="H371" s="141">
        <v>418.20455900000002</v>
      </c>
      <c r="I371" s="280"/>
      <c r="J371" s="72">
        <v>148.52000000000001</v>
      </c>
      <c r="K371" s="271">
        <f t="shared" si="15"/>
        <v>62111.741102680004</v>
      </c>
      <c r="L371" s="111"/>
      <c r="M371" s="73"/>
      <c r="N371" s="112"/>
      <c r="O371" s="111"/>
      <c r="P371" s="312">
        <v>0</v>
      </c>
      <c r="Q371" s="288">
        <f t="shared" si="16"/>
        <v>0</v>
      </c>
      <c r="R371" s="118">
        <v>0</v>
      </c>
      <c r="S371" s="283">
        <v>2016</v>
      </c>
      <c r="T371" s="288">
        <f t="shared" si="17"/>
        <v>67304</v>
      </c>
    </row>
    <row r="372" spans="2:20">
      <c r="B372" s="386" t="s">
        <v>477</v>
      </c>
      <c r="C372" s="114"/>
      <c r="D372" s="111" t="s">
        <v>1546</v>
      </c>
      <c r="E372" s="111" t="s">
        <v>1556</v>
      </c>
      <c r="F372" s="111"/>
      <c r="G372" s="110" t="s">
        <v>2074</v>
      </c>
      <c r="H372" s="141">
        <v>539.595685</v>
      </c>
      <c r="I372" s="280"/>
      <c r="J372" s="72">
        <v>148.52000000000001</v>
      </c>
      <c r="K372" s="271">
        <f t="shared" si="15"/>
        <v>80140.751136200008</v>
      </c>
      <c r="L372" s="111"/>
      <c r="M372" s="73"/>
      <c r="N372" s="112"/>
      <c r="O372" s="111"/>
      <c r="P372" s="312">
        <v>0</v>
      </c>
      <c r="Q372" s="288">
        <f t="shared" si="16"/>
        <v>0</v>
      </c>
      <c r="R372" s="118">
        <v>0</v>
      </c>
      <c r="S372" s="283">
        <v>2016</v>
      </c>
      <c r="T372" s="288">
        <f t="shared" si="17"/>
        <v>86840</v>
      </c>
    </row>
    <row r="373" spans="2:20">
      <c r="B373" s="386" t="s">
        <v>478</v>
      </c>
      <c r="C373" s="114"/>
      <c r="D373" s="111" t="s">
        <v>1546</v>
      </c>
      <c r="E373" s="111" t="s">
        <v>1556</v>
      </c>
      <c r="F373" s="111"/>
      <c r="G373" s="110" t="s">
        <v>2074</v>
      </c>
      <c r="H373" s="141">
        <v>80.453671</v>
      </c>
      <c r="I373" s="280"/>
      <c r="J373" s="72">
        <v>148.52000000000001</v>
      </c>
      <c r="K373" s="271">
        <f t="shared" si="15"/>
        <v>11948.979216920001</v>
      </c>
      <c r="L373" s="111"/>
      <c r="M373" s="73"/>
      <c r="N373" s="112"/>
      <c r="O373" s="111"/>
      <c r="P373" s="312">
        <v>0</v>
      </c>
      <c r="Q373" s="288">
        <f t="shared" si="16"/>
        <v>0</v>
      </c>
      <c r="R373" s="118">
        <v>0</v>
      </c>
      <c r="S373" s="283">
        <v>2016</v>
      </c>
      <c r="T373" s="288">
        <f t="shared" si="17"/>
        <v>12948</v>
      </c>
    </row>
    <row r="374" spans="2:20">
      <c r="B374" s="386" t="s">
        <v>479</v>
      </c>
      <c r="C374" s="114"/>
      <c r="D374" s="111" t="s">
        <v>1546</v>
      </c>
      <c r="E374" s="111" t="s">
        <v>1681</v>
      </c>
      <c r="F374" s="111"/>
      <c r="G374" s="110" t="s">
        <v>2073</v>
      </c>
      <c r="H374" s="141">
        <v>886.73760300000004</v>
      </c>
      <c r="I374" s="280"/>
      <c r="J374" s="72">
        <v>148.52000000000001</v>
      </c>
      <c r="K374" s="271">
        <f t="shared" si="15"/>
        <v>131698.26879756001</v>
      </c>
      <c r="L374" s="111"/>
      <c r="M374" s="73"/>
      <c r="N374" s="112"/>
      <c r="O374" s="111"/>
      <c r="P374" s="312">
        <v>88.244803200000007</v>
      </c>
      <c r="Q374" s="288">
        <f t="shared" si="16"/>
        <v>15.000000022664222</v>
      </c>
      <c r="R374" s="118">
        <v>1323.6720499999999</v>
      </c>
      <c r="S374" s="283">
        <v>2016</v>
      </c>
      <c r="T374" s="288">
        <f t="shared" si="17"/>
        <v>144144</v>
      </c>
    </row>
    <row r="375" spans="2:20">
      <c r="B375" s="386" t="s">
        <v>480</v>
      </c>
      <c r="C375" s="114"/>
      <c r="D375" s="111" t="s">
        <v>1546</v>
      </c>
      <c r="E375" s="111" t="s">
        <v>1681</v>
      </c>
      <c r="F375" s="111"/>
      <c r="G375" s="110" t="s">
        <v>2073</v>
      </c>
      <c r="H375" s="141">
        <v>15.726704</v>
      </c>
      <c r="I375" s="280"/>
      <c r="J375" s="72">
        <v>148.52000000000001</v>
      </c>
      <c r="K375" s="271">
        <f t="shared" si="15"/>
        <v>2335.7300780800001</v>
      </c>
      <c r="L375" s="111"/>
      <c r="M375" s="73"/>
      <c r="N375" s="112"/>
      <c r="O375" s="111"/>
      <c r="P375" s="312">
        <v>0</v>
      </c>
      <c r="Q375" s="288">
        <f t="shared" si="16"/>
        <v>0</v>
      </c>
      <c r="R375" s="118">
        <v>0</v>
      </c>
      <c r="S375" s="283">
        <v>2016</v>
      </c>
      <c r="T375" s="288">
        <f t="shared" si="17"/>
        <v>2531</v>
      </c>
    </row>
    <row r="376" spans="2:20">
      <c r="B376" s="386" t="s">
        <v>481</v>
      </c>
      <c r="C376" s="114"/>
      <c r="D376" s="111" t="s">
        <v>1546</v>
      </c>
      <c r="E376" s="111" t="s">
        <v>1681</v>
      </c>
      <c r="F376" s="111"/>
      <c r="G376" s="110" t="s">
        <v>2073</v>
      </c>
      <c r="H376" s="141">
        <v>109.906302</v>
      </c>
      <c r="I376" s="280"/>
      <c r="J376" s="72">
        <v>148.52000000000001</v>
      </c>
      <c r="K376" s="271">
        <f t="shared" si="15"/>
        <v>16323.283973040001</v>
      </c>
      <c r="L376" s="111"/>
      <c r="M376" s="73"/>
      <c r="N376" s="112"/>
      <c r="O376" s="111"/>
      <c r="P376" s="312">
        <v>0</v>
      </c>
      <c r="Q376" s="288">
        <f t="shared" si="16"/>
        <v>0</v>
      </c>
      <c r="R376" s="118">
        <v>0</v>
      </c>
      <c r="S376" s="283">
        <v>2016</v>
      </c>
      <c r="T376" s="288">
        <f t="shared" si="17"/>
        <v>17688</v>
      </c>
    </row>
    <row r="377" spans="2:20">
      <c r="B377" s="386" t="s">
        <v>482</v>
      </c>
      <c r="C377" s="114"/>
      <c r="D377" s="111" t="s">
        <v>1546</v>
      </c>
      <c r="E377" s="111" t="s">
        <v>1682</v>
      </c>
      <c r="F377" s="111"/>
      <c r="G377" s="110" t="s">
        <v>2073</v>
      </c>
      <c r="H377" s="141">
        <v>76.537165000000002</v>
      </c>
      <c r="I377" s="280"/>
      <c r="J377" s="72">
        <v>148.52000000000001</v>
      </c>
      <c r="K377" s="271">
        <f t="shared" si="15"/>
        <v>11367.299745800001</v>
      </c>
      <c r="L377" s="111"/>
      <c r="M377" s="73"/>
      <c r="N377" s="112"/>
      <c r="O377" s="111"/>
      <c r="P377" s="312">
        <v>0</v>
      </c>
      <c r="Q377" s="288">
        <f t="shared" si="16"/>
        <v>0</v>
      </c>
      <c r="R377" s="118">
        <v>0</v>
      </c>
      <c r="S377" s="283">
        <v>2016</v>
      </c>
      <c r="T377" s="288">
        <f t="shared" si="17"/>
        <v>12317</v>
      </c>
    </row>
    <row r="378" spans="2:20">
      <c r="B378" s="386" t="s">
        <v>483</v>
      </c>
      <c r="C378" s="114"/>
      <c r="D378" s="111" t="s">
        <v>1546</v>
      </c>
      <c r="E378" s="111" t="s">
        <v>1682</v>
      </c>
      <c r="F378" s="111"/>
      <c r="G378" s="110" t="s">
        <v>2073</v>
      </c>
      <c r="H378" s="141">
        <v>30.651584</v>
      </c>
      <c r="I378" s="280"/>
      <c r="J378" s="72">
        <v>148.52000000000001</v>
      </c>
      <c r="K378" s="271">
        <f t="shared" si="15"/>
        <v>4552.3732556800005</v>
      </c>
      <c r="L378" s="111"/>
      <c r="M378" s="73"/>
      <c r="N378" s="112"/>
      <c r="O378" s="111"/>
      <c r="P378" s="312">
        <v>0</v>
      </c>
      <c r="Q378" s="288">
        <f t="shared" si="16"/>
        <v>0</v>
      </c>
      <c r="R378" s="118">
        <v>0</v>
      </c>
      <c r="S378" s="283">
        <v>2016</v>
      </c>
      <c r="T378" s="288">
        <f t="shared" si="17"/>
        <v>4933</v>
      </c>
    </row>
    <row r="379" spans="2:20">
      <c r="B379" s="386" t="s">
        <v>484</v>
      </c>
      <c r="C379" s="114"/>
      <c r="D379" s="111" t="s">
        <v>1546</v>
      </c>
      <c r="E379" s="111" t="s">
        <v>1682</v>
      </c>
      <c r="F379" s="111"/>
      <c r="G379" s="110" t="s">
        <v>2073</v>
      </c>
      <c r="H379" s="141">
        <v>42.430225</v>
      </c>
      <c r="I379" s="280"/>
      <c r="J379" s="72">
        <v>148.52000000000001</v>
      </c>
      <c r="K379" s="271">
        <f t="shared" si="15"/>
        <v>6301.7370170000004</v>
      </c>
      <c r="L379" s="111"/>
      <c r="M379" s="73"/>
      <c r="N379" s="112"/>
      <c r="O379" s="111"/>
      <c r="P379" s="312">
        <v>0</v>
      </c>
      <c r="Q379" s="288">
        <f t="shared" si="16"/>
        <v>0</v>
      </c>
      <c r="R379" s="118">
        <v>0</v>
      </c>
      <c r="S379" s="283">
        <v>2016</v>
      </c>
      <c r="T379" s="288">
        <f t="shared" si="17"/>
        <v>6828</v>
      </c>
    </row>
    <row r="380" spans="2:20">
      <c r="B380" s="386" t="s">
        <v>485</v>
      </c>
      <c r="C380" s="114"/>
      <c r="D380" s="111" t="s">
        <v>1546</v>
      </c>
      <c r="E380" s="111" t="s">
        <v>1683</v>
      </c>
      <c r="F380" s="111"/>
      <c r="G380" s="110" t="s">
        <v>2073</v>
      </c>
      <c r="H380" s="141">
        <v>1158.319743</v>
      </c>
      <c r="I380" s="280"/>
      <c r="J380" s="72">
        <v>148.52000000000001</v>
      </c>
      <c r="K380" s="271">
        <f t="shared" si="15"/>
        <v>172033.64823036001</v>
      </c>
      <c r="L380" s="111"/>
      <c r="M380" s="73"/>
      <c r="N380" s="112"/>
      <c r="O380" s="111"/>
      <c r="P380" s="312">
        <v>0</v>
      </c>
      <c r="Q380" s="288">
        <f t="shared" si="16"/>
        <v>0</v>
      </c>
      <c r="R380" s="118">
        <v>0</v>
      </c>
      <c r="S380" s="283">
        <v>2016</v>
      </c>
      <c r="T380" s="288">
        <f t="shared" si="17"/>
        <v>186414</v>
      </c>
    </row>
    <row r="381" spans="2:20">
      <c r="B381" s="386" t="s">
        <v>486</v>
      </c>
      <c r="C381" s="114"/>
      <c r="D381" s="111" t="s">
        <v>1546</v>
      </c>
      <c r="E381" s="111" t="s">
        <v>1684</v>
      </c>
      <c r="F381" s="111"/>
      <c r="G381" s="110" t="s">
        <v>2073</v>
      </c>
      <c r="H381" s="141">
        <v>30.791577</v>
      </c>
      <c r="I381" s="280"/>
      <c r="J381" s="72">
        <v>148.52000000000001</v>
      </c>
      <c r="K381" s="271">
        <f t="shared" si="15"/>
        <v>4573.1650160400004</v>
      </c>
      <c r="L381" s="111"/>
      <c r="M381" s="73"/>
      <c r="N381" s="112"/>
      <c r="O381" s="111"/>
      <c r="P381" s="312">
        <v>0</v>
      </c>
      <c r="Q381" s="288">
        <f t="shared" si="16"/>
        <v>0</v>
      </c>
      <c r="R381" s="118">
        <v>0</v>
      </c>
      <c r="S381" s="283">
        <v>2016</v>
      </c>
      <c r="T381" s="288">
        <f t="shared" si="17"/>
        <v>4955</v>
      </c>
    </row>
    <row r="382" spans="2:20">
      <c r="B382" s="386" t="s">
        <v>487</v>
      </c>
      <c r="C382" s="114"/>
      <c r="D382" s="111" t="s">
        <v>1546</v>
      </c>
      <c r="E382" s="111" t="s">
        <v>1685</v>
      </c>
      <c r="F382" s="111"/>
      <c r="G382" s="110" t="s">
        <v>2073</v>
      </c>
      <c r="H382" s="141">
        <v>579.975773</v>
      </c>
      <c r="I382" s="280"/>
      <c r="J382" s="72">
        <v>148.52000000000001</v>
      </c>
      <c r="K382" s="271">
        <f t="shared" si="15"/>
        <v>86138.001805960012</v>
      </c>
      <c r="L382" s="111"/>
      <c r="M382" s="73"/>
      <c r="N382" s="112"/>
      <c r="O382" s="111"/>
      <c r="P382" s="312">
        <v>0</v>
      </c>
      <c r="Q382" s="288">
        <f t="shared" si="16"/>
        <v>0</v>
      </c>
      <c r="R382" s="118">
        <v>0</v>
      </c>
      <c r="S382" s="283">
        <v>2016</v>
      </c>
      <c r="T382" s="288">
        <f t="shared" si="17"/>
        <v>93338</v>
      </c>
    </row>
    <row r="383" spans="2:20">
      <c r="B383" s="386" t="s">
        <v>488</v>
      </c>
      <c r="C383" s="114"/>
      <c r="D383" s="111" t="s">
        <v>1546</v>
      </c>
      <c r="E383" s="111" t="s">
        <v>1686</v>
      </c>
      <c r="F383" s="111"/>
      <c r="G383" s="110" t="s">
        <v>2073</v>
      </c>
      <c r="H383" s="141">
        <v>153.59228100000001</v>
      </c>
      <c r="I383" s="280"/>
      <c r="J383" s="72">
        <v>148.52000000000001</v>
      </c>
      <c r="K383" s="271">
        <f t="shared" si="15"/>
        <v>22811.525574120005</v>
      </c>
      <c r="L383" s="111"/>
      <c r="M383" s="73"/>
      <c r="N383" s="112"/>
      <c r="O383" s="111"/>
      <c r="P383" s="312">
        <v>0</v>
      </c>
      <c r="Q383" s="288">
        <f t="shared" si="16"/>
        <v>0</v>
      </c>
      <c r="R383" s="118">
        <v>0</v>
      </c>
      <c r="S383" s="283">
        <v>2016</v>
      </c>
      <c r="T383" s="288">
        <f t="shared" si="17"/>
        <v>24718</v>
      </c>
    </row>
    <row r="384" spans="2:20">
      <c r="B384" s="386" t="s">
        <v>489</v>
      </c>
      <c r="C384" s="114"/>
      <c r="D384" s="111" t="s">
        <v>1547</v>
      </c>
      <c r="E384" s="111" t="s">
        <v>1687</v>
      </c>
      <c r="F384" s="111"/>
      <c r="G384" s="110" t="s">
        <v>2073</v>
      </c>
      <c r="H384" s="141">
        <v>245.702157</v>
      </c>
      <c r="I384" s="280"/>
      <c r="J384" s="72">
        <v>148.52000000000001</v>
      </c>
      <c r="K384" s="271">
        <f t="shared" si="15"/>
        <v>36491.684357640006</v>
      </c>
      <c r="L384" s="111"/>
      <c r="M384" s="73"/>
      <c r="N384" s="112"/>
      <c r="O384" s="111"/>
      <c r="P384" s="312">
        <v>0</v>
      </c>
      <c r="Q384" s="288">
        <f t="shared" si="16"/>
        <v>0</v>
      </c>
      <c r="R384" s="118">
        <v>0</v>
      </c>
      <c r="S384" s="283">
        <v>2016</v>
      </c>
      <c r="T384" s="288">
        <f t="shared" si="17"/>
        <v>39542</v>
      </c>
    </row>
    <row r="385" spans="2:20">
      <c r="B385" s="386" t="s">
        <v>490</v>
      </c>
      <c r="C385" s="114"/>
      <c r="D385" s="111" t="s">
        <v>1546</v>
      </c>
      <c r="E385" s="111" t="s">
        <v>1688</v>
      </c>
      <c r="F385" s="111"/>
      <c r="G385" s="110" t="s">
        <v>2073</v>
      </c>
      <c r="H385" s="141">
        <v>170.81859499999999</v>
      </c>
      <c r="I385" s="280"/>
      <c r="J385" s="72">
        <v>148.52000000000001</v>
      </c>
      <c r="K385" s="271">
        <f t="shared" si="15"/>
        <v>25369.977729400001</v>
      </c>
      <c r="L385" s="111"/>
      <c r="M385" s="73"/>
      <c r="N385" s="112"/>
      <c r="O385" s="111"/>
      <c r="P385" s="312">
        <v>0</v>
      </c>
      <c r="Q385" s="288">
        <f t="shared" si="16"/>
        <v>0</v>
      </c>
      <c r="R385" s="118">
        <v>0</v>
      </c>
      <c r="S385" s="283">
        <v>2016</v>
      </c>
      <c r="T385" s="288">
        <f t="shared" si="17"/>
        <v>27491</v>
      </c>
    </row>
    <row r="386" spans="2:20">
      <c r="B386" s="386" t="s">
        <v>491</v>
      </c>
      <c r="C386" s="114"/>
      <c r="D386" s="111" t="s">
        <v>1547</v>
      </c>
      <c r="E386" s="111" t="s">
        <v>1689</v>
      </c>
      <c r="F386" s="111"/>
      <c r="G386" s="110" t="s">
        <v>2073</v>
      </c>
      <c r="H386" s="141">
        <v>927.31705199999999</v>
      </c>
      <c r="I386" s="280"/>
      <c r="J386" s="72">
        <v>148.52000000000001</v>
      </c>
      <c r="K386" s="271">
        <f t="shared" si="15"/>
        <v>137725.12856303999</v>
      </c>
      <c r="L386" s="111"/>
      <c r="M386" s="73"/>
      <c r="N386" s="112"/>
      <c r="O386" s="111"/>
      <c r="P386" s="312">
        <v>0</v>
      </c>
      <c r="Q386" s="288">
        <f t="shared" si="16"/>
        <v>0</v>
      </c>
      <c r="R386" s="118">
        <v>0</v>
      </c>
      <c r="S386" s="283">
        <v>2016</v>
      </c>
      <c r="T386" s="288">
        <f t="shared" si="17"/>
        <v>149238</v>
      </c>
    </row>
    <row r="387" spans="2:20">
      <c r="B387" s="386" t="s">
        <v>492</v>
      </c>
      <c r="C387" s="114"/>
      <c r="D387" s="111" t="s">
        <v>1546</v>
      </c>
      <c r="E387" s="111" t="s">
        <v>1576</v>
      </c>
      <c r="F387" s="111"/>
      <c r="G387" s="110" t="s">
        <v>2074</v>
      </c>
      <c r="H387" s="141">
        <v>50.695706999999999</v>
      </c>
      <c r="I387" s="280"/>
      <c r="J387" s="72">
        <v>148.52000000000001</v>
      </c>
      <c r="K387" s="271">
        <f t="shared" si="15"/>
        <v>7529.3264036400005</v>
      </c>
      <c r="L387" s="111"/>
      <c r="M387" s="73"/>
      <c r="N387" s="112"/>
      <c r="O387" s="111"/>
      <c r="P387" s="312">
        <v>0</v>
      </c>
      <c r="Q387" s="288">
        <f t="shared" si="16"/>
        <v>0</v>
      </c>
      <c r="R387" s="118">
        <v>0</v>
      </c>
      <c r="S387" s="283">
        <v>2016</v>
      </c>
      <c r="T387" s="288">
        <f t="shared" si="17"/>
        <v>8159</v>
      </c>
    </row>
    <row r="388" spans="2:20">
      <c r="B388" s="386" t="s">
        <v>493</v>
      </c>
      <c r="C388" s="114"/>
      <c r="D388" s="111" t="s">
        <v>1546</v>
      </c>
      <c r="E388" s="111" t="s">
        <v>1576</v>
      </c>
      <c r="F388" s="111"/>
      <c r="G388" s="110" t="s">
        <v>2073</v>
      </c>
      <c r="H388" s="141">
        <v>14.102684</v>
      </c>
      <c r="I388" s="280"/>
      <c r="J388" s="72">
        <v>148.52000000000001</v>
      </c>
      <c r="K388" s="271">
        <f t="shared" si="15"/>
        <v>2094.5306276800002</v>
      </c>
      <c r="L388" s="111"/>
      <c r="M388" s="73"/>
      <c r="N388" s="112"/>
      <c r="O388" s="111"/>
      <c r="P388" s="312">
        <v>0</v>
      </c>
      <c r="Q388" s="288">
        <f t="shared" si="16"/>
        <v>0</v>
      </c>
      <c r="R388" s="118">
        <v>0</v>
      </c>
      <c r="S388" s="283">
        <v>2016</v>
      </c>
      <c r="T388" s="288">
        <f t="shared" si="17"/>
        <v>2270</v>
      </c>
    </row>
    <row r="389" spans="2:20">
      <c r="B389" s="386" t="s">
        <v>494</v>
      </c>
      <c r="C389" s="114"/>
      <c r="D389" s="111" t="s">
        <v>1546</v>
      </c>
      <c r="E389" s="111" t="s">
        <v>1576</v>
      </c>
      <c r="F389" s="111"/>
      <c r="G389" s="110" t="s">
        <v>2074</v>
      </c>
      <c r="H389" s="141">
        <v>46.494630999999998</v>
      </c>
      <c r="I389" s="280"/>
      <c r="J389" s="72">
        <v>148.52000000000001</v>
      </c>
      <c r="K389" s="271">
        <f t="shared" si="15"/>
        <v>6905.38259612</v>
      </c>
      <c r="L389" s="111"/>
      <c r="M389" s="73"/>
      <c r="N389" s="112"/>
      <c r="O389" s="111"/>
      <c r="P389" s="312">
        <v>0</v>
      </c>
      <c r="Q389" s="288">
        <f t="shared" si="16"/>
        <v>0</v>
      </c>
      <c r="R389" s="118">
        <v>0</v>
      </c>
      <c r="S389" s="283">
        <v>2016</v>
      </c>
      <c r="T389" s="288">
        <f t="shared" si="17"/>
        <v>7483</v>
      </c>
    </row>
    <row r="390" spans="2:20">
      <c r="B390" s="386" t="s">
        <v>495</v>
      </c>
      <c r="C390" s="114"/>
      <c r="D390" s="111" t="s">
        <v>1546</v>
      </c>
      <c r="E390" s="111" t="s">
        <v>1576</v>
      </c>
      <c r="F390" s="111"/>
      <c r="G390" s="110" t="s">
        <v>2073</v>
      </c>
      <c r="H390" s="141">
        <v>478.52263099999999</v>
      </c>
      <c r="I390" s="280"/>
      <c r="J390" s="72">
        <v>148.52000000000001</v>
      </c>
      <c r="K390" s="271">
        <f t="shared" si="15"/>
        <v>71070.181156120001</v>
      </c>
      <c r="L390" s="111"/>
      <c r="M390" s="73"/>
      <c r="N390" s="112"/>
      <c r="O390" s="111"/>
      <c r="P390" s="312">
        <v>0</v>
      </c>
      <c r="Q390" s="288">
        <f t="shared" si="16"/>
        <v>0</v>
      </c>
      <c r="R390" s="118">
        <v>0</v>
      </c>
      <c r="S390" s="283">
        <v>2016</v>
      </c>
      <c r="T390" s="288">
        <f t="shared" si="17"/>
        <v>77011</v>
      </c>
    </row>
    <row r="391" spans="2:20">
      <c r="B391" s="386" t="s">
        <v>496</v>
      </c>
      <c r="C391" s="114"/>
      <c r="D391" s="111" t="s">
        <v>1546</v>
      </c>
      <c r="E391" s="111" t="s">
        <v>1576</v>
      </c>
      <c r="F391" s="111"/>
      <c r="G391" s="110" t="s">
        <v>2073</v>
      </c>
      <c r="H391" s="141">
        <v>237.20658499999999</v>
      </c>
      <c r="I391" s="280"/>
      <c r="J391" s="72">
        <v>148.52000000000001</v>
      </c>
      <c r="K391" s="271">
        <f t="shared" si="15"/>
        <v>35229.922004200002</v>
      </c>
      <c r="L391" s="111"/>
      <c r="M391" s="73"/>
      <c r="N391" s="112"/>
      <c r="O391" s="111"/>
      <c r="P391" s="312">
        <v>0</v>
      </c>
      <c r="Q391" s="288">
        <f t="shared" si="16"/>
        <v>0</v>
      </c>
      <c r="R391" s="118">
        <v>0</v>
      </c>
      <c r="S391" s="283">
        <v>2016</v>
      </c>
      <c r="T391" s="288">
        <f t="shared" si="17"/>
        <v>38175</v>
      </c>
    </row>
    <row r="392" spans="2:20">
      <c r="B392" s="386" t="s">
        <v>497</v>
      </c>
      <c r="C392" s="114"/>
      <c r="D392" s="111" t="s">
        <v>1546</v>
      </c>
      <c r="E392" s="111" t="s">
        <v>1690</v>
      </c>
      <c r="F392" s="111"/>
      <c r="G392" s="110" t="s">
        <v>2073</v>
      </c>
      <c r="H392" s="141">
        <v>55.272373000000002</v>
      </c>
      <c r="I392" s="280"/>
      <c r="J392" s="72">
        <v>148.52000000000001</v>
      </c>
      <c r="K392" s="271">
        <f t="shared" ref="K392:K448" si="18">J392*H392</f>
        <v>8209.05283796</v>
      </c>
      <c r="L392" s="111"/>
      <c r="M392" s="73"/>
      <c r="N392" s="112"/>
      <c r="O392" s="111"/>
      <c r="P392" s="312">
        <v>1.3634062199999999</v>
      </c>
      <c r="Q392" s="288">
        <f t="shared" ref="Q392:Q448" si="19">IFERROR(R392/P392,0)</f>
        <v>10.000000000000002</v>
      </c>
      <c r="R392" s="118">
        <v>13.634062200000001</v>
      </c>
      <c r="S392" s="283">
        <v>2016</v>
      </c>
      <c r="T392" s="288">
        <f t="shared" si="17"/>
        <v>8910</v>
      </c>
    </row>
    <row r="393" spans="2:20">
      <c r="B393" s="386" t="s">
        <v>498</v>
      </c>
      <c r="C393" s="114"/>
      <c r="D393" s="111" t="s">
        <v>1546</v>
      </c>
      <c r="E393" s="111" t="s">
        <v>1691</v>
      </c>
      <c r="F393" s="111"/>
      <c r="G393" s="110" t="s">
        <v>2073</v>
      </c>
      <c r="H393" s="141">
        <v>1093.9615859999999</v>
      </c>
      <c r="I393" s="280"/>
      <c r="J393" s="72">
        <v>148.52000000000001</v>
      </c>
      <c r="K393" s="271">
        <f t="shared" si="18"/>
        <v>162475.17475271999</v>
      </c>
      <c r="L393" s="111"/>
      <c r="M393" s="73"/>
      <c r="N393" s="112"/>
      <c r="O393" s="111"/>
      <c r="P393" s="312">
        <v>0</v>
      </c>
      <c r="Q393" s="288">
        <f t="shared" si="19"/>
        <v>0</v>
      </c>
      <c r="R393" s="118">
        <v>0</v>
      </c>
      <c r="S393" s="283">
        <v>2016</v>
      </c>
      <c r="T393" s="288">
        <f t="shared" si="17"/>
        <v>176056</v>
      </c>
    </row>
    <row r="394" spans="2:20">
      <c r="B394" s="386" t="s">
        <v>499</v>
      </c>
      <c r="C394" s="114"/>
      <c r="D394" s="111" t="s">
        <v>1546</v>
      </c>
      <c r="E394" s="111" t="s">
        <v>1691</v>
      </c>
      <c r="F394" s="111"/>
      <c r="G394" s="110" t="s">
        <v>2073</v>
      </c>
      <c r="H394" s="141">
        <v>40.412089999999999</v>
      </c>
      <c r="I394" s="280"/>
      <c r="J394" s="72">
        <v>148.52000000000001</v>
      </c>
      <c r="K394" s="271">
        <f t="shared" si="18"/>
        <v>6002.0036067999999</v>
      </c>
      <c r="L394" s="111"/>
      <c r="M394" s="73"/>
      <c r="N394" s="112"/>
      <c r="O394" s="111"/>
      <c r="P394" s="312">
        <v>0</v>
      </c>
      <c r="Q394" s="288">
        <f t="shared" si="19"/>
        <v>0</v>
      </c>
      <c r="R394" s="118">
        <v>0</v>
      </c>
      <c r="S394" s="283">
        <v>2016</v>
      </c>
      <c r="T394" s="288">
        <f t="shared" si="17"/>
        <v>6504</v>
      </c>
    </row>
    <row r="395" spans="2:20">
      <c r="B395" s="386" t="s">
        <v>500</v>
      </c>
      <c r="C395" s="114"/>
      <c r="D395" s="111" t="s">
        <v>1546</v>
      </c>
      <c r="E395" s="111" t="s">
        <v>1692</v>
      </c>
      <c r="F395" s="111"/>
      <c r="G395" s="110" t="s">
        <v>2073</v>
      </c>
      <c r="H395" s="141">
        <v>90.885223999999994</v>
      </c>
      <c r="I395" s="280"/>
      <c r="J395" s="72">
        <v>148.52000000000001</v>
      </c>
      <c r="K395" s="271">
        <f t="shared" si="18"/>
        <v>13498.27346848</v>
      </c>
      <c r="L395" s="111"/>
      <c r="M395" s="73"/>
      <c r="N395" s="112"/>
      <c r="O395" s="111"/>
      <c r="P395" s="312">
        <v>0</v>
      </c>
      <c r="Q395" s="288">
        <f t="shared" si="19"/>
        <v>0</v>
      </c>
      <c r="R395" s="118">
        <v>0</v>
      </c>
      <c r="S395" s="283">
        <v>2016</v>
      </c>
      <c r="T395" s="288">
        <f t="shared" si="17"/>
        <v>14627</v>
      </c>
    </row>
    <row r="396" spans="2:20">
      <c r="B396" s="386" t="s">
        <v>501</v>
      </c>
      <c r="C396" s="114"/>
      <c r="D396" s="111" t="s">
        <v>1546</v>
      </c>
      <c r="E396" s="111" t="s">
        <v>1693</v>
      </c>
      <c r="F396" s="111"/>
      <c r="G396" s="110" t="s">
        <v>2073</v>
      </c>
      <c r="H396" s="141">
        <v>1187.4813710000001</v>
      </c>
      <c r="I396" s="280"/>
      <c r="J396" s="72">
        <v>148.52000000000001</v>
      </c>
      <c r="K396" s="271">
        <f t="shared" si="18"/>
        <v>176364.73322092002</v>
      </c>
      <c r="L396" s="111"/>
      <c r="M396" s="73"/>
      <c r="N396" s="112"/>
      <c r="O396" s="111"/>
      <c r="P396" s="312">
        <v>0</v>
      </c>
      <c r="Q396" s="288">
        <f t="shared" si="19"/>
        <v>0</v>
      </c>
      <c r="R396" s="118">
        <v>0</v>
      </c>
      <c r="S396" s="283">
        <v>2016</v>
      </c>
      <c r="T396" s="288">
        <f t="shared" si="17"/>
        <v>191107</v>
      </c>
    </row>
    <row r="397" spans="2:20">
      <c r="B397" s="386" t="s">
        <v>502</v>
      </c>
      <c r="C397" s="114"/>
      <c r="D397" s="111" t="s">
        <v>1546</v>
      </c>
      <c r="E397" s="111" t="s">
        <v>1694</v>
      </c>
      <c r="F397" s="111"/>
      <c r="G397" s="110" t="s">
        <v>2073</v>
      </c>
      <c r="H397" s="141">
        <v>274.07660700000002</v>
      </c>
      <c r="I397" s="280"/>
      <c r="J397" s="72">
        <v>148.52000000000001</v>
      </c>
      <c r="K397" s="271">
        <f t="shared" si="18"/>
        <v>40705.857671640006</v>
      </c>
      <c r="L397" s="111"/>
      <c r="M397" s="73"/>
      <c r="N397" s="112"/>
      <c r="O397" s="111"/>
      <c r="P397" s="312">
        <v>0</v>
      </c>
      <c r="Q397" s="288">
        <f t="shared" si="19"/>
        <v>0</v>
      </c>
      <c r="R397" s="118">
        <v>0</v>
      </c>
      <c r="S397" s="283">
        <v>2016</v>
      </c>
      <c r="T397" s="288">
        <f t="shared" ref="T397:T460" si="20">IFERROR(ROUND((K397*(1+PPI_Existing)^(YEAR-S397))+(R397*((1+LandInd_Existing)^(YEAR-S397))),0),0)</f>
        <v>44108</v>
      </c>
    </row>
    <row r="398" spans="2:20">
      <c r="B398" s="386" t="s">
        <v>503</v>
      </c>
      <c r="C398" s="114"/>
      <c r="D398" s="111" t="s">
        <v>1546</v>
      </c>
      <c r="E398" s="111" t="s">
        <v>1603</v>
      </c>
      <c r="F398" s="111"/>
      <c r="G398" s="110" t="s">
        <v>2073</v>
      </c>
      <c r="H398" s="141">
        <v>1518.99836</v>
      </c>
      <c r="I398" s="280"/>
      <c r="J398" s="72">
        <v>148.52000000000001</v>
      </c>
      <c r="K398" s="271">
        <f t="shared" si="18"/>
        <v>225601.63642720002</v>
      </c>
      <c r="L398" s="111"/>
      <c r="M398" s="73"/>
      <c r="N398" s="112"/>
      <c r="O398" s="111"/>
      <c r="P398" s="312">
        <v>0</v>
      </c>
      <c r="Q398" s="288">
        <f t="shared" si="19"/>
        <v>0</v>
      </c>
      <c r="R398" s="118">
        <v>0</v>
      </c>
      <c r="S398" s="283">
        <v>2016</v>
      </c>
      <c r="T398" s="288">
        <f t="shared" si="20"/>
        <v>244460</v>
      </c>
    </row>
    <row r="399" spans="2:20">
      <c r="B399" s="386" t="s">
        <v>504</v>
      </c>
      <c r="C399" s="114"/>
      <c r="D399" s="111" t="s">
        <v>1547</v>
      </c>
      <c r="E399" s="111" t="s">
        <v>1603</v>
      </c>
      <c r="F399" s="111"/>
      <c r="G399" s="110" t="s">
        <v>2073</v>
      </c>
      <c r="H399" s="141">
        <v>181.07314</v>
      </c>
      <c r="I399" s="280"/>
      <c r="J399" s="72">
        <v>148.52000000000001</v>
      </c>
      <c r="K399" s="271">
        <f t="shared" si="18"/>
        <v>26892.982752800002</v>
      </c>
      <c r="L399" s="111"/>
      <c r="M399" s="73"/>
      <c r="N399" s="112"/>
      <c r="O399" s="111"/>
      <c r="P399" s="312">
        <v>0</v>
      </c>
      <c r="Q399" s="288">
        <f t="shared" si="19"/>
        <v>0</v>
      </c>
      <c r="R399" s="118">
        <v>0</v>
      </c>
      <c r="S399" s="283">
        <v>2016</v>
      </c>
      <c r="T399" s="288">
        <f t="shared" si="20"/>
        <v>29141</v>
      </c>
    </row>
    <row r="400" spans="2:20">
      <c r="B400" s="386" t="s">
        <v>505</v>
      </c>
      <c r="C400" s="114"/>
      <c r="D400" s="111" t="s">
        <v>1546</v>
      </c>
      <c r="E400" s="111" t="s">
        <v>1695</v>
      </c>
      <c r="F400" s="111"/>
      <c r="G400" s="110" t="s">
        <v>2073</v>
      </c>
      <c r="H400" s="141">
        <v>44.060859999999998</v>
      </c>
      <c r="I400" s="280"/>
      <c r="J400" s="72">
        <v>148.52000000000001</v>
      </c>
      <c r="K400" s="271">
        <f t="shared" si="18"/>
        <v>6543.9189272000003</v>
      </c>
      <c r="L400" s="111"/>
      <c r="M400" s="73"/>
      <c r="N400" s="112"/>
      <c r="O400" s="111"/>
      <c r="P400" s="312">
        <v>0</v>
      </c>
      <c r="Q400" s="288">
        <f t="shared" si="19"/>
        <v>0</v>
      </c>
      <c r="R400" s="118">
        <v>0</v>
      </c>
      <c r="S400" s="283">
        <v>2016</v>
      </c>
      <c r="T400" s="288">
        <f t="shared" si="20"/>
        <v>7091</v>
      </c>
    </row>
    <row r="401" spans="2:20">
      <c r="B401" s="386" t="s">
        <v>506</v>
      </c>
      <c r="C401" s="114"/>
      <c r="D401" s="111" t="s">
        <v>1546</v>
      </c>
      <c r="E401" s="111" t="s">
        <v>1695</v>
      </c>
      <c r="F401" s="111"/>
      <c r="G401" s="110" t="s">
        <v>2073</v>
      </c>
      <c r="H401" s="141">
        <v>1759.1396930000001</v>
      </c>
      <c r="I401" s="280"/>
      <c r="J401" s="72">
        <v>148.52000000000001</v>
      </c>
      <c r="K401" s="271">
        <f t="shared" si="18"/>
        <v>261267.42720436002</v>
      </c>
      <c r="L401" s="111"/>
      <c r="M401" s="73"/>
      <c r="N401" s="112"/>
      <c r="O401" s="111"/>
      <c r="P401" s="312">
        <v>0</v>
      </c>
      <c r="Q401" s="288">
        <f t="shared" si="19"/>
        <v>0</v>
      </c>
      <c r="R401" s="118">
        <v>0</v>
      </c>
      <c r="S401" s="283">
        <v>2016</v>
      </c>
      <c r="T401" s="288">
        <f t="shared" si="20"/>
        <v>283107</v>
      </c>
    </row>
    <row r="402" spans="2:20">
      <c r="B402" s="386" t="s">
        <v>507</v>
      </c>
      <c r="C402" s="114"/>
      <c r="D402" s="111" t="s">
        <v>1546</v>
      </c>
      <c r="E402" s="111" t="s">
        <v>1695</v>
      </c>
      <c r="F402" s="111"/>
      <c r="G402" s="110" t="s">
        <v>2073</v>
      </c>
      <c r="H402" s="141">
        <v>224.95942099999999</v>
      </c>
      <c r="I402" s="280"/>
      <c r="J402" s="72">
        <v>148.52000000000001</v>
      </c>
      <c r="K402" s="271">
        <f t="shared" si="18"/>
        <v>33410.973206920004</v>
      </c>
      <c r="L402" s="111"/>
      <c r="M402" s="73"/>
      <c r="N402" s="112"/>
      <c r="O402" s="111"/>
      <c r="P402" s="312">
        <v>0</v>
      </c>
      <c r="Q402" s="288">
        <f t="shared" si="19"/>
        <v>0</v>
      </c>
      <c r="R402" s="118">
        <v>0</v>
      </c>
      <c r="S402" s="283">
        <v>2016</v>
      </c>
      <c r="T402" s="288">
        <f t="shared" si="20"/>
        <v>36204</v>
      </c>
    </row>
    <row r="403" spans="2:20">
      <c r="B403" s="386" t="s">
        <v>508</v>
      </c>
      <c r="C403" s="114"/>
      <c r="D403" s="111" t="s">
        <v>1547</v>
      </c>
      <c r="E403" s="111" t="s">
        <v>1695</v>
      </c>
      <c r="F403" s="111"/>
      <c r="G403" s="110" t="s">
        <v>2073</v>
      </c>
      <c r="H403" s="141">
        <v>90.797729000000004</v>
      </c>
      <c r="I403" s="280"/>
      <c r="J403" s="72">
        <v>148.52000000000001</v>
      </c>
      <c r="K403" s="271">
        <f t="shared" si="18"/>
        <v>13485.278711080002</v>
      </c>
      <c r="L403" s="111"/>
      <c r="M403" s="73"/>
      <c r="N403" s="112"/>
      <c r="O403" s="111"/>
      <c r="P403" s="312">
        <v>0</v>
      </c>
      <c r="Q403" s="288">
        <f t="shared" si="19"/>
        <v>0</v>
      </c>
      <c r="R403" s="118">
        <v>0</v>
      </c>
      <c r="S403" s="283">
        <v>2016</v>
      </c>
      <c r="T403" s="288">
        <f t="shared" si="20"/>
        <v>14613</v>
      </c>
    </row>
    <row r="404" spans="2:20">
      <c r="B404" s="386" t="s">
        <v>509</v>
      </c>
      <c r="C404" s="114"/>
      <c r="D404" s="111" t="s">
        <v>1547</v>
      </c>
      <c r="E404" s="111" t="s">
        <v>1696</v>
      </c>
      <c r="F404" s="111"/>
      <c r="G404" s="110" t="s">
        <v>2073</v>
      </c>
      <c r="H404" s="141">
        <v>189.78279499999999</v>
      </c>
      <c r="I404" s="280"/>
      <c r="J404" s="72">
        <v>148.52000000000001</v>
      </c>
      <c r="K404" s="271">
        <f t="shared" si="18"/>
        <v>28186.540713400002</v>
      </c>
      <c r="L404" s="111"/>
      <c r="M404" s="73"/>
      <c r="N404" s="112"/>
      <c r="O404" s="111"/>
      <c r="P404" s="312">
        <v>0</v>
      </c>
      <c r="Q404" s="288">
        <f t="shared" si="19"/>
        <v>0</v>
      </c>
      <c r="R404" s="118">
        <v>0</v>
      </c>
      <c r="S404" s="283">
        <v>2016</v>
      </c>
      <c r="T404" s="288">
        <f t="shared" si="20"/>
        <v>30543</v>
      </c>
    </row>
    <row r="405" spans="2:20">
      <c r="B405" s="386" t="s">
        <v>510</v>
      </c>
      <c r="C405" s="114"/>
      <c r="D405" s="111" t="s">
        <v>1546</v>
      </c>
      <c r="E405" s="111" t="s">
        <v>1606</v>
      </c>
      <c r="F405" s="111"/>
      <c r="G405" s="110" t="s">
        <v>2073</v>
      </c>
      <c r="H405" s="141">
        <v>248.314187</v>
      </c>
      <c r="I405" s="280"/>
      <c r="J405" s="72">
        <v>148.52000000000001</v>
      </c>
      <c r="K405" s="271">
        <f t="shared" si="18"/>
        <v>36879.62305324</v>
      </c>
      <c r="L405" s="111"/>
      <c r="M405" s="73"/>
      <c r="N405" s="112"/>
      <c r="O405" s="111"/>
      <c r="P405" s="312">
        <v>0</v>
      </c>
      <c r="Q405" s="288">
        <f t="shared" si="19"/>
        <v>0</v>
      </c>
      <c r="R405" s="118">
        <v>0</v>
      </c>
      <c r="S405" s="283">
        <v>2016</v>
      </c>
      <c r="T405" s="288">
        <f t="shared" si="20"/>
        <v>39962</v>
      </c>
    </row>
    <row r="406" spans="2:20">
      <c r="B406" s="386" t="s">
        <v>511</v>
      </c>
      <c r="C406" s="114"/>
      <c r="D406" s="111" t="s">
        <v>1546</v>
      </c>
      <c r="E406" s="111" t="s">
        <v>1606</v>
      </c>
      <c r="F406" s="111"/>
      <c r="G406" s="110" t="s">
        <v>2073</v>
      </c>
      <c r="H406" s="141">
        <v>40.823312000000001</v>
      </c>
      <c r="I406" s="280"/>
      <c r="J406" s="72">
        <v>148.52000000000001</v>
      </c>
      <c r="K406" s="271">
        <f t="shared" si="18"/>
        <v>6063.0782982400005</v>
      </c>
      <c r="L406" s="111"/>
      <c r="M406" s="73"/>
      <c r="N406" s="112"/>
      <c r="O406" s="111"/>
      <c r="P406" s="312">
        <v>0</v>
      </c>
      <c r="Q406" s="288">
        <f t="shared" si="19"/>
        <v>0</v>
      </c>
      <c r="R406" s="118">
        <v>0</v>
      </c>
      <c r="S406" s="283">
        <v>2016</v>
      </c>
      <c r="T406" s="288">
        <f t="shared" si="20"/>
        <v>6570</v>
      </c>
    </row>
    <row r="407" spans="2:20">
      <c r="B407" s="386" t="s">
        <v>512</v>
      </c>
      <c r="C407" s="114"/>
      <c r="D407" s="111" t="s">
        <v>1547</v>
      </c>
      <c r="E407" s="111" t="s">
        <v>1697</v>
      </c>
      <c r="F407" s="111"/>
      <c r="G407" s="110" t="s">
        <v>2073</v>
      </c>
      <c r="H407" s="141">
        <v>100.387485</v>
      </c>
      <c r="I407" s="280"/>
      <c r="J407" s="72">
        <v>148.52000000000001</v>
      </c>
      <c r="K407" s="271">
        <f t="shared" si="18"/>
        <v>14909.5492722</v>
      </c>
      <c r="L407" s="111"/>
      <c r="M407" s="73"/>
      <c r="N407" s="112"/>
      <c r="O407" s="111"/>
      <c r="P407" s="312">
        <v>0</v>
      </c>
      <c r="Q407" s="288">
        <f t="shared" si="19"/>
        <v>0</v>
      </c>
      <c r="R407" s="118">
        <v>0</v>
      </c>
      <c r="S407" s="283">
        <v>2016</v>
      </c>
      <c r="T407" s="288">
        <f t="shared" si="20"/>
        <v>16156</v>
      </c>
    </row>
    <row r="408" spans="2:20">
      <c r="B408" s="386" t="s">
        <v>513</v>
      </c>
      <c r="C408" s="114"/>
      <c r="D408" s="111" t="s">
        <v>1546</v>
      </c>
      <c r="E408" s="111" t="s">
        <v>1576</v>
      </c>
      <c r="F408" s="111"/>
      <c r="G408" s="110" t="s">
        <v>2073</v>
      </c>
      <c r="H408" s="141">
        <v>1212.691368</v>
      </c>
      <c r="I408" s="280"/>
      <c r="J408" s="72">
        <v>148.52000000000001</v>
      </c>
      <c r="K408" s="271">
        <f t="shared" si="18"/>
        <v>180108.92197536002</v>
      </c>
      <c r="L408" s="111"/>
      <c r="M408" s="73"/>
      <c r="N408" s="112"/>
      <c r="O408" s="111"/>
      <c r="P408" s="312">
        <v>0</v>
      </c>
      <c r="Q408" s="288">
        <f t="shared" si="19"/>
        <v>0</v>
      </c>
      <c r="R408" s="118">
        <v>0</v>
      </c>
      <c r="S408" s="283">
        <v>2016</v>
      </c>
      <c r="T408" s="288">
        <f t="shared" si="20"/>
        <v>195164</v>
      </c>
    </row>
    <row r="409" spans="2:20">
      <c r="B409" s="386" t="s">
        <v>514</v>
      </c>
      <c r="C409" s="114"/>
      <c r="D409" s="111" t="s">
        <v>1546</v>
      </c>
      <c r="E409" s="111" t="s">
        <v>1698</v>
      </c>
      <c r="F409" s="111"/>
      <c r="G409" s="110" t="s">
        <v>2073</v>
      </c>
      <c r="H409" s="141">
        <v>534.25995</v>
      </c>
      <c r="I409" s="280"/>
      <c r="J409" s="72">
        <v>148.52000000000001</v>
      </c>
      <c r="K409" s="271">
        <f t="shared" si="18"/>
        <v>79348.287774000011</v>
      </c>
      <c r="L409" s="111"/>
      <c r="M409" s="73"/>
      <c r="N409" s="112"/>
      <c r="O409" s="111"/>
      <c r="P409" s="312">
        <v>114.82259999999999</v>
      </c>
      <c r="Q409" s="288">
        <f t="shared" si="19"/>
        <v>15</v>
      </c>
      <c r="R409" s="118">
        <v>1722.3389999999999</v>
      </c>
      <c r="S409" s="283">
        <v>2016</v>
      </c>
      <c r="T409" s="288">
        <f t="shared" si="20"/>
        <v>87850</v>
      </c>
    </row>
    <row r="410" spans="2:20">
      <c r="B410" s="386" t="s">
        <v>515</v>
      </c>
      <c r="C410" s="114"/>
      <c r="D410" s="111" t="s">
        <v>1546</v>
      </c>
      <c r="E410" s="111" t="s">
        <v>1698</v>
      </c>
      <c r="F410" s="111"/>
      <c r="G410" s="110" t="s">
        <v>2073</v>
      </c>
      <c r="H410" s="141">
        <v>209.16664800000001</v>
      </c>
      <c r="I410" s="280"/>
      <c r="J410" s="72">
        <v>148.52000000000001</v>
      </c>
      <c r="K410" s="271">
        <f t="shared" si="18"/>
        <v>31065.430560960005</v>
      </c>
      <c r="L410" s="111"/>
      <c r="M410" s="73"/>
      <c r="N410" s="112"/>
      <c r="O410" s="111"/>
      <c r="P410" s="312">
        <v>0</v>
      </c>
      <c r="Q410" s="288">
        <f t="shared" si="19"/>
        <v>0</v>
      </c>
      <c r="R410" s="118">
        <v>0</v>
      </c>
      <c r="S410" s="283">
        <v>2016</v>
      </c>
      <c r="T410" s="288">
        <f t="shared" si="20"/>
        <v>33662</v>
      </c>
    </row>
    <row r="411" spans="2:20">
      <c r="B411" s="386" t="s">
        <v>516</v>
      </c>
      <c r="C411" s="114"/>
      <c r="D411" s="111" t="s">
        <v>1546</v>
      </c>
      <c r="E411" s="111" t="s">
        <v>1698</v>
      </c>
      <c r="F411" s="111"/>
      <c r="G411" s="110" t="s">
        <v>2073</v>
      </c>
      <c r="H411" s="141">
        <v>63.800027999999998</v>
      </c>
      <c r="I411" s="280"/>
      <c r="J411" s="72">
        <v>148.52000000000001</v>
      </c>
      <c r="K411" s="271">
        <f t="shared" si="18"/>
        <v>9475.5801585600002</v>
      </c>
      <c r="L411" s="111"/>
      <c r="M411" s="73"/>
      <c r="N411" s="112"/>
      <c r="O411" s="111"/>
      <c r="P411" s="312">
        <v>0</v>
      </c>
      <c r="Q411" s="288">
        <f t="shared" si="19"/>
        <v>0</v>
      </c>
      <c r="R411" s="118">
        <v>0</v>
      </c>
      <c r="S411" s="283">
        <v>2016</v>
      </c>
      <c r="T411" s="288">
        <f t="shared" si="20"/>
        <v>10268</v>
      </c>
    </row>
    <row r="412" spans="2:20">
      <c r="B412" s="386" t="s">
        <v>517</v>
      </c>
      <c r="C412" s="114"/>
      <c r="D412" s="111" t="s">
        <v>1546</v>
      </c>
      <c r="E412" s="111" t="s">
        <v>1698</v>
      </c>
      <c r="F412" s="111"/>
      <c r="G412" s="110" t="s">
        <v>2073</v>
      </c>
      <c r="H412" s="141">
        <v>12.827476000000001</v>
      </c>
      <c r="I412" s="280"/>
      <c r="J412" s="72">
        <v>148.52000000000001</v>
      </c>
      <c r="K412" s="271">
        <f t="shared" si="18"/>
        <v>1905.1367355200002</v>
      </c>
      <c r="L412" s="111"/>
      <c r="M412" s="73"/>
      <c r="N412" s="112"/>
      <c r="O412" s="111"/>
      <c r="P412" s="312">
        <v>0</v>
      </c>
      <c r="Q412" s="288">
        <f t="shared" si="19"/>
        <v>0</v>
      </c>
      <c r="R412" s="118">
        <v>0</v>
      </c>
      <c r="S412" s="283">
        <v>2016</v>
      </c>
      <c r="T412" s="288">
        <f t="shared" si="20"/>
        <v>2064</v>
      </c>
    </row>
    <row r="413" spans="2:20">
      <c r="B413" s="386" t="s">
        <v>518</v>
      </c>
      <c r="C413" s="114"/>
      <c r="D413" s="111" t="s">
        <v>1546</v>
      </c>
      <c r="E413" s="111" t="s">
        <v>1699</v>
      </c>
      <c r="F413" s="111"/>
      <c r="G413" s="110" t="s">
        <v>2073</v>
      </c>
      <c r="H413" s="141">
        <v>47.205697000000001</v>
      </c>
      <c r="I413" s="280"/>
      <c r="J413" s="72">
        <v>148.52000000000001</v>
      </c>
      <c r="K413" s="271">
        <f t="shared" si="18"/>
        <v>7010.9901184400005</v>
      </c>
      <c r="L413" s="111"/>
      <c r="M413" s="73"/>
      <c r="N413" s="112"/>
      <c r="O413" s="111"/>
      <c r="P413" s="312">
        <v>0</v>
      </c>
      <c r="Q413" s="288">
        <f t="shared" si="19"/>
        <v>0</v>
      </c>
      <c r="R413" s="118">
        <v>0</v>
      </c>
      <c r="S413" s="283">
        <v>2016</v>
      </c>
      <c r="T413" s="288">
        <f t="shared" si="20"/>
        <v>7597</v>
      </c>
    </row>
    <row r="414" spans="2:20">
      <c r="B414" s="386" t="s">
        <v>519</v>
      </c>
      <c r="C414" s="114"/>
      <c r="D414" s="111" t="s">
        <v>1547</v>
      </c>
      <c r="E414" s="111" t="s">
        <v>1700</v>
      </c>
      <c r="F414" s="111"/>
      <c r="G414" s="110" t="s">
        <v>2073</v>
      </c>
      <c r="H414" s="141">
        <v>44.713301000000001</v>
      </c>
      <c r="I414" s="280"/>
      <c r="J414" s="72">
        <v>148.52000000000001</v>
      </c>
      <c r="K414" s="271">
        <f t="shared" si="18"/>
        <v>6640.819464520001</v>
      </c>
      <c r="L414" s="111"/>
      <c r="M414" s="73"/>
      <c r="N414" s="112"/>
      <c r="O414" s="111"/>
      <c r="P414" s="312">
        <v>0</v>
      </c>
      <c r="Q414" s="288">
        <f t="shared" si="19"/>
        <v>0</v>
      </c>
      <c r="R414" s="118">
        <v>0</v>
      </c>
      <c r="S414" s="283">
        <v>2016</v>
      </c>
      <c r="T414" s="288">
        <f t="shared" si="20"/>
        <v>7196</v>
      </c>
    </row>
    <row r="415" spans="2:20">
      <c r="B415" s="386" t="s">
        <v>520</v>
      </c>
      <c r="C415" s="114"/>
      <c r="D415" s="111" t="s">
        <v>1547</v>
      </c>
      <c r="E415" s="111" t="s">
        <v>1700</v>
      </c>
      <c r="F415" s="111"/>
      <c r="G415" s="110" t="s">
        <v>2073</v>
      </c>
      <c r="H415" s="141">
        <v>346.482463</v>
      </c>
      <c r="I415" s="280"/>
      <c r="J415" s="72">
        <v>148.52000000000001</v>
      </c>
      <c r="K415" s="271">
        <f t="shared" si="18"/>
        <v>51459.575404760006</v>
      </c>
      <c r="L415" s="111"/>
      <c r="M415" s="73"/>
      <c r="N415" s="112"/>
      <c r="O415" s="111"/>
      <c r="P415" s="312">
        <v>0</v>
      </c>
      <c r="Q415" s="288">
        <f t="shared" si="19"/>
        <v>0</v>
      </c>
      <c r="R415" s="118">
        <v>0</v>
      </c>
      <c r="S415" s="283">
        <v>2016</v>
      </c>
      <c r="T415" s="288">
        <f t="shared" si="20"/>
        <v>55761</v>
      </c>
    </row>
    <row r="416" spans="2:20">
      <c r="B416" s="386" t="s">
        <v>521</v>
      </c>
      <c r="C416" s="114"/>
      <c r="D416" s="111" t="s">
        <v>1546</v>
      </c>
      <c r="E416" s="111" t="s">
        <v>1701</v>
      </c>
      <c r="F416" s="111"/>
      <c r="G416" s="110" t="s">
        <v>2073</v>
      </c>
      <c r="H416" s="141">
        <v>1354.4055820000001</v>
      </c>
      <c r="I416" s="280"/>
      <c r="J416" s="72">
        <v>148.52000000000001</v>
      </c>
      <c r="K416" s="271">
        <f t="shared" si="18"/>
        <v>201156.31703864003</v>
      </c>
      <c r="L416" s="111"/>
      <c r="M416" s="73"/>
      <c r="N416" s="112"/>
      <c r="O416" s="111"/>
      <c r="P416" s="312">
        <v>0</v>
      </c>
      <c r="Q416" s="288">
        <f t="shared" si="19"/>
        <v>0</v>
      </c>
      <c r="R416" s="118">
        <v>0</v>
      </c>
      <c r="S416" s="283">
        <v>2016</v>
      </c>
      <c r="T416" s="288">
        <f t="shared" si="20"/>
        <v>217971</v>
      </c>
    </row>
    <row r="417" spans="2:20">
      <c r="B417" s="386" t="s">
        <v>522</v>
      </c>
      <c r="C417" s="114"/>
      <c r="D417" s="111" t="s">
        <v>1547</v>
      </c>
      <c r="E417" s="111" t="s">
        <v>1701</v>
      </c>
      <c r="F417" s="111"/>
      <c r="G417" s="110" t="s">
        <v>2073</v>
      </c>
      <c r="H417" s="141">
        <v>183.01098500000001</v>
      </c>
      <c r="I417" s="280"/>
      <c r="J417" s="72">
        <v>148.52000000000001</v>
      </c>
      <c r="K417" s="271">
        <f t="shared" si="18"/>
        <v>27180.791492200002</v>
      </c>
      <c r="L417" s="111"/>
      <c r="M417" s="73"/>
      <c r="N417" s="112"/>
      <c r="O417" s="111"/>
      <c r="P417" s="312">
        <v>0</v>
      </c>
      <c r="Q417" s="288">
        <f t="shared" si="19"/>
        <v>0</v>
      </c>
      <c r="R417" s="118">
        <v>0</v>
      </c>
      <c r="S417" s="283">
        <v>2016</v>
      </c>
      <c r="T417" s="288">
        <f t="shared" si="20"/>
        <v>29453</v>
      </c>
    </row>
    <row r="418" spans="2:20">
      <c r="B418" s="386" t="s">
        <v>523</v>
      </c>
      <c r="C418" s="114"/>
      <c r="D418" s="111" t="s">
        <v>1547</v>
      </c>
      <c r="E418" s="111" t="s">
        <v>1701</v>
      </c>
      <c r="F418" s="111"/>
      <c r="G418" s="110" t="s">
        <v>2073</v>
      </c>
      <c r="H418" s="141">
        <v>78.522878000000006</v>
      </c>
      <c r="I418" s="280"/>
      <c r="J418" s="72">
        <v>148.52000000000001</v>
      </c>
      <c r="K418" s="271">
        <f t="shared" si="18"/>
        <v>11662.217840560003</v>
      </c>
      <c r="L418" s="111"/>
      <c r="M418" s="73"/>
      <c r="N418" s="112"/>
      <c r="O418" s="111"/>
      <c r="P418" s="312">
        <v>0</v>
      </c>
      <c r="Q418" s="288">
        <f t="shared" si="19"/>
        <v>0</v>
      </c>
      <c r="R418" s="118">
        <v>0</v>
      </c>
      <c r="S418" s="283">
        <v>2016</v>
      </c>
      <c r="T418" s="288">
        <f t="shared" si="20"/>
        <v>12637</v>
      </c>
    </row>
    <row r="419" spans="2:20">
      <c r="B419" s="386" t="s">
        <v>524</v>
      </c>
      <c r="C419" s="114"/>
      <c r="D419" s="111" t="s">
        <v>1547</v>
      </c>
      <c r="E419" s="111" t="s">
        <v>1701</v>
      </c>
      <c r="F419" s="111"/>
      <c r="G419" s="110" t="s">
        <v>2073</v>
      </c>
      <c r="H419" s="141">
        <v>431.12850200000003</v>
      </c>
      <c r="I419" s="280"/>
      <c r="J419" s="72">
        <v>148.52000000000001</v>
      </c>
      <c r="K419" s="271">
        <f t="shared" si="18"/>
        <v>64031.205117040008</v>
      </c>
      <c r="L419" s="111"/>
      <c r="M419" s="73"/>
      <c r="N419" s="112"/>
      <c r="O419" s="111"/>
      <c r="P419" s="312">
        <v>0</v>
      </c>
      <c r="Q419" s="288">
        <f t="shared" si="19"/>
        <v>0</v>
      </c>
      <c r="R419" s="118">
        <v>0</v>
      </c>
      <c r="S419" s="283">
        <v>2016</v>
      </c>
      <c r="T419" s="288">
        <f t="shared" si="20"/>
        <v>69384</v>
      </c>
    </row>
    <row r="420" spans="2:20">
      <c r="B420" s="386" t="s">
        <v>525</v>
      </c>
      <c r="C420" s="114"/>
      <c r="D420" s="111" t="s">
        <v>1547</v>
      </c>
      <c r="E420" s="111" t="s">
        <v>1702</v>
      </c>
      <c r="F420" s="111"/>
      <c r="G420" s="110" t="s">
        <v>2073</v>
      </c>
      <c r="H420" s="141">
        <v>245.515117</v>
      </c>
      <c r="I420" s="280"/>
      <c r="J420" s="72">
        <v>148.52000000000001</v>
      </c>
      <c r="K420" s="271">
        <f t="shared" si="18"/>
        <v>36463.905176840002</v>
      </c>
      <c r="L420" s="111"/>
      <c r="M420" s="73"/>
      <c r="N420" s="112"/>
      <c r="O420" s="111"/>
      <c r="P420" s="312">
        <v>0</v>
      </c>
      <c r="Q420" s="288">
        <f t="shared" si="19"/>
        <v>0</v>
      </c>
      <c r="R420" s="118">
        <v>0</v>
      </c>
      <c r="S420" s="283">
        <v>2016</v>
      </c>
      <c r="T420" s="288">
        <f t="shared" si="20"/>
        <v>39512</v>
      </c>
    </row>
    <row r="421" spans="2:20">
      <c r="B421" s="386" t="s">
        <v>526</v>
      </c>
      <c r="C421" s="114"/>
      <c r="D421" s="111" t="s">
        <v>1547</v>
      </c>
      <c r="E421" s="111" t="s">
        <v>1702</v>
      </c>
      <c r="F421" s="111"/>
      <c r="G421" s="110" t="s">
        <v>2073</v>
      </c>
      <c r="H421" s="141">
        <v>787.32145800000001</v>
      </c>
      <c r="I421" s="280"/>
      <c r="J421" s="72">
        <v>148.52000000000001</v>
      </c>
      <c r="K421" s="271">
        <f t="shared" si="18"/>
        <v>116932.98294216002</v>
      </c>
      <c r="L421" s="111"/>
      <c r="M421" s="73"/>
      <c r="N421" s="112"/>
      <c r="O421" s="111"/>
      <c r="P421" s="312">
        <v>0</v>
      </c>
      <c r="Q421" s="288">
        <f t="shared" si="19"/>
        <v>0</v>
      </c>
      <c r="R421" s="118">
        <v>0</v>
      </c>
      <c r="S421" s="283">
        <v>2016</v>
      </c>
      <c r="T421" s="288">
        <f t="shared" si="20"/>
        <v>126707</v>
      </c>
    </row>
    <row r="422" spans="2:20">
      <c r="B422" s="386" t="s">
        <v>527</v>
      </c>
      <c r="C422" s="114"/>
      <c r="D422" s="111" t="s">
        <v>1546</v>
      </c>
      <c r="E422" s="111" t="s">
        <v>1703</v>
      </c>
      <c r="F422" s="111"/>
      <c r="G422" s="110" t="s">
        <v>2073</v>
      </c>
      <c r="H422" s="141">
        <v>600.75127799999996</v>
      </c>
      <c r="I422" s="280"/>
      <c r="J422" s="72">
        <v>148.52000000000001</v>
      </c>
      <c r="K422" s="271">
        <f t="shared" si="18"/>
        <v>89223.579808559996</v>
      </c>
      <c r="L422" s="111"/>
      <c r="M422" s="73"/>
      <c r="N422" s="112"/>
      <c r="O422" s="111"/>
      <c r="P422" s="312">
        <v>0</v>
      </c>
      <c r="Q422" s="288">
        <f t="shared" si="19"/>
        <v>0</v>
      </c>
      <c r="R422" s="118">
        <v>0</v>
      </c>
      <c r="S422" s="283">
        <v>2016</v>
      </c>
      <c r="T422" s="288">
        <f t="shared" si="20"/>
        <v>96682</v>
      </c>
    </row>
    <row r="423" spans="2:20">
      <c r="B423" s="386" t="s">
        <v>528</v>
      </c>
      <c r="C423" s="114"/>
      <c r="D423" s="111" t="s">
        <v>1547</v>
      </c>
      <c r="E423" s="111" t="s">
        <v>1704</v>
      </c>
      <c r="F423" s="111"/>
      <c r="G423" s="110" t="s">
        <v>2073</v>
      </c>
      <c r="H423" s="141">
        <v>479.77934399999998</v>
      </c>
      <c r="I423" s="280"/>
      <c r="J423" s="72">
        <v>148.52000000000001</v>
      </c>
      <c r="K423" s="271">
        <f t="shared" si="18"/>
        <v>71256.828170880006</v>
      </c>
      <c r="L423" s="111"/>
      <c r="M423" s="73"/>
      <c r="N423" s="112"/>
      <c r="O423" s="111"/>
      <c r="P423" s="312">
        <v>0</v>
      </c>
      <c r="Q423" s="288">
        <f t="shared" si="19"/>
        <v>0</v>
      </c>
      <c r="R423" s="118">
        <v>0</v>
      </c>
      <c r="S423" s="283">
        <v>2016</v>
      </c>
      <c r="T423" s="288">
        <f t="shared" si="20"/>
        <v>77213</v>
      </c>
    </row>
    <row r="424" spans="2:20">
      <c r="B424" s="386" t="s">
        <v>529</v>
      </c>
      <c r="C424" s="114"/>
      <c r="D424" s="111" t="s">
        <v>1547</v>
      </c>
      <c r="E424" s="111" t="s">
        <v>1705</v>
      </c>
      <c r="F424" s="111"/>
      <c r="G424" s="110" t="s">
        <v>2073</v>
      </c>
      <c r="H424" s="141">
        <v>426.94512800000001</v>
      </c>
      <c r="I424" s="280"/>
      <c r="J424" s="72">
        <v>148.52000000000001</v>
      </c>
      <c r="K424" s="271">
        <f t="shared" si="18"/>
        <v>63409.890410560009</v>
      </c>
      <c r="L424" s="111"/>
      <c r="M424" s="73"/>
      <c r="N424" s="112"/>
      <c r="O424" s="111"/>
      <c r="P424" s="312">
        <v>0</v>
      </c>
      <c r="Q424" s="288">
        <f t="shared" si="19"/>
        <v>0</v>
      </c>
      <c r="R424" s="118">
        <v>0</v>
      </c>
      <c r="S424" s="283">
        <v>2016</v>
      </c>
      <c r="T424" s="288">
        <f t="shared" si="20"/>
        <v>68710</v>
      </c>
    </row>
    <row r="425" spans="2:20">
      <c r="B425" s="386" t="s">
        <v>530</v>
      </c>
      <c r="C425" s="114"/>
      <c r="D425" s="111" t="s">
        <v>1547</v>
      </c>
      <c r="E425" s="111" t="s">
        <v>1705</v>
      </c>
      <c r="F425" s="111"/>
      <c r="G425" s="110" t="s">
        <v>2073</v>
      </c>
      <c r="H425" s="141">
        <v>295.53404699999999</v>
      </c>
      <c r="I425" s="280"/>
      <c r="J425" s="72">
        <v>148.52000000000001</v>
      </c>
      <c r="K425" s="271">
        <f t="shared" si="18"/>
        <v>43892.716660440004</v>
      </c>
      <c r="L425" s="111"/>
      <c r="M425" s="73"/>
      <c r="N425" s="112"/>
      <c r="O425" s="111"/>
      <c r="P425" s="312">
        <v>0</v>
      </c>
      <c r="Q425" s="288">
        <f t="shared" si="19"/>
        <v>0</v>
      </c>
      <c r="R425" s="118">
        <v>0</v>
      </c>
      <c r="S425" s="283">
        <v>2016</v>
      </c>
      <c r="T425" s="288">
        <f t="shared" si="20"/>
        <v>47562</v>
      </c>
    </row>
    <row r="426" spans="2:20">
      <c r="B426" s="386" t="s">
        <v>531</v>
      </c>
      <c r="C426" s="114"/>
      <c r="D426" s="111" t="s">
        <v>1547</v>
      </c>
      <c r="E426" s="111" t="s">
        <v>1705</v>
      </c>
      <c r="F426" s="111"/>
      <c r="G426" s="110" t="s">
        <v>2073</v>
      </c>
      <c r="H426" s="141">
        <v>783.85721699999999</v>
      </c>
      <c r="I426" s="280"/>
      <c r="J426" s="72">
        <v>148.52000000000001</v>
      </c>
      <c r="K426" s="271">
        <f t="shared" si="18"/>
        <v>116418.47386884001</v>
      </c>
      <c r="L426" s="111"/>
      <c r="M426" s="73"/>
      <c r="N426" s="112"/>
      <c r="O426" s="111"/>
      <c r="P426" s="312">
        <v>0</v>
      </c>
      <c r="Q426" s="288">
        <f t="shared" si="19"/>
        <v>0</v>
      </c>
      <c r="R426" s="118">
        <v>0</v>
      </c>
      <c r="S426" s="283">
        <v>2016</v>
      </c>
      <c r="T426" s="288">
        <f t="shared" si="20"/>
        <v>126150</v>
      </c>
    </row>
    <row r="427" spans="2:20">
      <c r="B427" s="386" t="s">
        <v>532</v>
      </c>
      <c r="C427" s="114"/>
      <c r="D427" s="111" t="s">
        <v>1546</v>
      </c>
      <c r="E427" s="111" t="s">
        <v>1706</v>
      </c>
      <c r="F427" s="111"/>
      <c r="G427" s="110" t="s">
        <v>2073</v>
      </c>
      <c r="H427" s="141">
        <v>990.92514000000006</v>
      </c>
      <c r="I427" s="280"/>
      <c r="J427" s="72">
        <v>148.52000000000001</v>
      </c>
      <c r="K427" s="271">
        <f t="shared" si="18"/>
        <v>147172.20179280001</v>
      </c>
      <c r="L427" s="111"/>
      <c r="M427" s="73"/>
      <c r="N427" s="112"/>
      <c r="O427" s="111"/>
      <c r="P427" s="312">
        <v>3097.7496799999999</v>
      </c>
      <c r="Q427" s="288">
        <f t="shared" si="19"/>
        <v>1467.2891290557732</v>
      </c>
      <c r="R427" s="118">
        <v>4545294.43</v>
      </c>
      <c r="S427" s="283">
        <v>2016</v>
      </c>
      <c r="T427" s="288">
        <f t="shared" si="20"/>
        <v>5092728</v>
      </c>
    </row>
    <row r="428" spans="2:20">
      <c r="B428" s="386" t="s">
        <v>533</v>
      </c>
      <c r="C428" s="114"/>
      <c r="D428" s="111" t="s">
        <v>1547</v>
      </c>
      <c r="E428" s="111" t="s">
        <v>1707</v>
      </c>
      <c r="F428" s="111"/>
      <c r="G428" s="110" t="s">
        <v>2073</v>
      </c>
      <c r="H428" s="141">
        <v>2013.5805439999999</v>
      </c>
      <c r="I428" s="280"/>
      <c r="J428" s="72">
        <v>148.52000000000001</v>
      </c>
      <c r="K428" s="271">
        <f t="shared" si="18"/>
        <v>299056.98239488003</v>
      </c>
      <c r="L428" s="111"/>
      <c r="M428" s="73"/>
      <c r="N428" s="112"/>
      <c r="O428" s="111"/>
      <c r="P428" s="312">
        <v>3.6632364900000001</v>
      </c>
      <c r="Q428" s="288">
        <f t="shared" si="19"/>
        <v>14.999999986350868</v>
      </c>
      <c r="R428" s="118">
        <v>54.948547300000001</v>
      </c>
      <c r="S428" s="283">
        <v>2016</v>
      </c>
      <c r="T428" s="288">
        <f t="shared" si="20"/>
        <v>324115</v>
      </c>
    </row>
    <row r="429" spans="2:20">
      <c r="B429" s="386" t="s">
        <v>534</v>
      </c>
      <c r="C429" s="114"/>
      <c r="D429" s="111" t="s">
        <v>1547</v>
      </c>
      <c r="E429" s="111" t="s">
        <v>1708</v>
      </c>
      <c r="F429" s="111"/>
      <c r="G429" s="110" t="s">
        <v>2073</v>
      </c>
      <c r="H429" s="141">
        <v>385.479443</v>
      </c>
      <c r="I429" s="280"/>
      <c r="J429" s="72">
        <v>148.52000000000001</v>
      </c>
      <c r="K429" s="271">
        <f t="shared" si="18"/>
        <v>57251.406874360007</v>
      </c>
      <c r="L429" s="111"/>
      <c r="M429" s="73"/>
      <c r="N429" s="112"/>
      <c r="O429" s="111"/>
      <c r="P429" s="312">
        <v>0</v>
      </c>
      <c r="Q429" s="288">
        <f t="shared" si="19"/>
        <v>0</v>
      </c>
      <c r="R429" s="118">
        <v>0</v>
      </c>
      <c r="S429" s="283">
        <v>2016</v>
      </c>
      <c r="T429" s="288">
        <f t="shared" si="20"/>
        <v>62037</v>
      </c>
    </row>
    <row r="430" spans="2:20">
      <c r="B430" s="386" t="s">
        <v>535</v>
      </c>
      <c r="C430" s="114"/>
      <c r="D430" s="111" t="s">
        <v>1546</v>
      </c>
      <c r="E430" s="111" t="s">
        <v>1606</v>
      </c>
      <c r="F430" s="111"/>
      <c r="G430" s="110" t="s">
        <v>2073</v>
      </c>
      <c r="H430" s="141">
        <v>731.90211599999998</v>
      </c>
      <c r="I430" s="280"/>
      <c r="J430" s="72">
        <v>148.52000000000001</v>
      </c>
      <c r="K430" s="271">
        <f t="shared" si="18"/>
        <v>108702.10226832</v>
      </c>
      <c r="L430" s="111"/>
      <c r="M430" s="73"/>
      <c r="N430" s="112"/>
      <c r="O430" s="111"/>
      <c r="P430" s="312">
        <v>0</v>
      </c>
      <c r="Q430" s="288">
        <f t="shared" si="19"/>
        <v>0</v>
      </c>
      <c r="R430" s="118">
        <v>0</v>
      </c>
      <c r="S430" s="283">
        <v>2016</v>
      </c>
      <c r="T430" s="288">
        <f t="shared" si="20"/>
        <v>117788</v>
      </c>
    </row>
    <row r="431" spans="2:20">
      <c r="B431" s="386" t="s">
        <v>536</v>
      </c>
      <c r="C431" s="114"/>
      <c r="D431" s="111" t="s">
        <v>1546</v>
      </c>
      <c r="E431" s="111" t="s">
        <v>1606</v>
      </c>
      <c r="F431" s="111"/>
      <c r="G431" s="110" t="s">
        <v>2073</v>
      </c>
      <c r="H431" s="141">
        <v>883.61962900000003</v>
      </c>
      <c r="I431" s="280"/>
      <c r="J431" s="72">
        <v>148.52000000000001</v>
      </c>
      <c r="K431" s="271">
        <f t="shared" si="18"/>
        <v>131235.18729908002</v>
      </c>
      <c r="L431" s="111"/>
      <c r="M431" s="73"/>
      <c r="N431" s="112"/>
      <c r="O431" s="111"/>
      <c r="P431" s="312">
        <v>0</v>
      </c>
      <c r="Q431" s="288">
        <f t="shared" si="19"/>
        <v>0</v>
      </c>
      <c r="R431" s="118">
        <v>0</v>
      </c>
      <c r="S431" s="283">
        <v>2016</v>
      </c>
      <c r="T431" s="288">
        <f t="shared" si="20"/>
        <v>142205</v>
      </c>
    </row>
    <row r="432" spans="2:20">
      <c r="B432" s="386" t="s">
        <v>537</v>
      </c>
      <c r="C432" s="114"/>
      <c r="D432" s="111" t="s">
        <v>1547</v>
      </c>
      <c r="E432" s="111" t="s">
        <v>1709</v>
      </c>
      <c r="F432" s="111"/>
      <c r="G432" s="110" t="s">
        <v>2073</v>
      </c>
      <c r="H432" s="141">
        <v>7.6239999999999997E-3</v>
      </c>
      <c r="I432" s="280"/>
      <c r="J432" s="72">
        <v>148.52000000000001</v>
      </c>
      <c r="K432" s="271">
        <f t="shared" si="18"/>
        <v>1.1323164800000001</v>
      </c>
      <c r="L432" s="111"/>
      <c r="M432" s="73"/>
      <c r="N432" s="112"/>
      <c r="O432" s="111"/>
      <c r="P432" s="312">
        <v>0</v>
      </c>
      <c r="Q432" s="288">
        <f t="shared" si="19"/>
        <v>0</v>
      </c>
      <c r="R432" s="118">
        <v>0</v>
      </c>
      <c r="S432" s="283">
        <v>2016</v>
      </c>
      <c r="T432" s="288">
        <f t="shared" si="20"/>
        <v>1</v>
      </c>
    </row>
    <row r="433" spans="2:20">
      <c r="B433" s="386" t="s">
        <v>538</v>
      </c>
      <c r="C433" s="114"/>
      <c r="D433" s="111" t="s">
        <v>1547</v>
      </c>
      <c r="E433" s="111" t="s">
        <v>1710</v>
      </c>
      <c r="F433" s="111"/>
      <c r="G433" s="110" t="s">
        <v>2073</v>
      </c>
      <c r="H433" s="141">
        <v>1719.5895680000001</v>
      </c>
      <c r="I433" s="280"/>
      <c r="J433" s="72">
        <v>148.52000000000001</v>
      </c>
      <c r="K433" s="271">
        <f t="shared" si="18"/>
        <v>255393.44263936003</v>
      </c>
      <c r="L433" s="111"/>
      <c r="M433" s="73"/>
      <c r="N433" s="112"/>
      <c r="O433" s="111"/>
      <c r="P433" s="312">
        <v>0</v>
      </c>
      <c r="Q433" s="288">
        <f t="shared" si="19"/>
        <v>0</v>
      </c>
      <c r="R433" s="118">
        <v>0</v>
      </c>
      <c r="S433" s="283">
        <v>2016</v>
      </c>
      <c r="T433" s="288">
        <f t="shared" si="20"/>
        <v>276742</v>
      </c>
    </row>
    <row r="434" spans="2:20">
      <c r="B434" s="386" t="s">
        <v>539</v>
      </c>
      <c r="C434" s="114"/>
      <c r="D434" s="111" t="s">
        <v>1546</v>
      </c>
      <c r="E434" s="111" t="s">
        <v>1711</v>
      </c>
      <c r="F434" s="111"/>
      <c r="G434" s="110" t="s">
        <v>2073</v>
      </c>
      <c r="H434" s="141">
        <v>266.67234300000001</v>
      </c>
      <c r="I434" s="280"/>
      <c r="J434" s="72">
        <v>148.52000000000001</v>
      </c>
      <c r="K434" s="271">
        <f t="shared" si="18"/>
        <v>39606.176382360005</v>
      </c>
      <c r="L434" s="111"/>
      <c r="M434" s="73"/>
      <c r="N434" s="112"/>
      <c r="O434" s="111"/>
      <c r="P434" s="312">
        <v>550.23633099999995</v>
      </c>
      <c r="Q434" s="288">
        <f t="shared" si="19"/>
        <v>14.999999990912995</v>
      </c>
      <c r="R434" s="118">
        <v>8253.5449599999993</v>
      </c>
      <c r="S434" s="283">
        <v>2016</v>
      </c>
      <c r="T434" s="288">
        <f t="shared" si="20"/>
        <v>51875</v>
      </c>
    </row>
    <row r="435" spans="2:20">
      <c r="B435" s="386" t="s">
        <v>540</v>
      </c>
      <c r="C435" s="114"/>
      <c r="D435" s="111" t="s">
        <v>1547</v>
      </c>
      <c r="E435" s="111" t="s">
        <v>1712</v>
      </c>
      <c r="F435" s="111"/>
      <c r="G435" s="110" t="s">
        <v>2073</v>
      </c>
      <c r="H435" s="141">
        <v>365.99201499999998</v>
      </c>
      <c r="I435" s="280"/>
      <c r="J435" s="72">
        <v>148.52000000000001</v>
      </c>
      <c r="K435" s="271">
        <f t="shared" si="18"/>
        <v>54357.134067799998</v>
      </c>
      <c r="L435" s="111"/>
      <c r="M435" s="73"/>
      <c r="N435" s="112"/>
      <c r="O435" s="111"/>
      <c r="P435" s="312">
        <v>0</v>
      </c>
      <c r="Q435" s="288">
        <f t="shared" si="19"/>
        <v>0</v>
      </c>
      <c r="R435" s="118">
        <v>0</v>
      </c>
      <c r="S435" s="283">
        <v>2016</v>
      </c>
      <c r="T435" s="288">
        <f t="shared" si="20"/>
        <v>58901</v>
      </c>
    </row>
    <row r="436" spans="2:20">
      <c r="B436" s="386" t="s">
        <v>541</v>
      </c>
      <c r="C436" s="114"/>
      <c r="D436" s="111" t="s">
        <v>1547</v>
      </c>
      <c r="E436" s="111" t="s">
        <v>1712</v>
      </c>
      <c r="F436" s="111"/>
      <c r="G436" s="110" t="s">
        <v>2073</v>
      </c>
      <c r="H436" s="141">
        <v>104.995074</v>
      </c>
      <c r="I436" s="280"/>
      <c r="J436" s="72">
        <v>148.52000000000001</v>
      </c>
      <c r="K436" s="271">
        <f t="shared" si="18"/>
        <v>15593.868390480002</v>
      </c>
      <c r="L436" s="111"/>
      <c r="M436" s="73"/>
      <c r="N436" s="112"/>
      <c r="O436" s="111"/>
      <c r="P436" s="312">
        <v>0</v>
      </c>
      <c r="Q436" s="288">
        <f t="shared" si="19"/>
        <v>0</v>
      </c>
      <c r="R436" s="118">
        <v>0</v>
      </c>
      <c r="S436" s="283">
        <v>2016</v>
      </c>
      <c r="T436" s="288">
        <f t="shared" si="20"/>
        <v>16897</v>
      </c>
    </row>
    <row r="437" spans="2:20">
      <c r="B437" s="386" t="s">
        <v>542</v>
      </c>
      <c r="C437" s="114"/>
      <c r="D437" s="111" t="s">
        <v>1547</v>
      </c>
      <c r="E437" s="111" t="s">
        <v>1712</v>
      </c>
      <c r="F437" s="111"/>
      <c r="G437" s="110" t="s">
        <v>2073</v>
      </c>
      <c r="H437" s="141">
        <v>248.646007</v>
      </c>
      <c r="I437" s="280"/>
      <c r="J437" s="72">
        <v>148.52000000000001</v>
      </c>
      <c r="K437" s="271">
        <f t="shared" si="18"/>
        <v>36928.90495964</v>
      </c>
      <c r="L437" s="111"/>
      <c r="M437" s="73"/>
      <c r="N437" s="112"/>
      <c r="O437" s="111"/>
      <c r="P437" s="312">
        <v>0</v>
      </c>
      <c r="Q437" s="288">
        <f t="shared" si="19"/>
        <v>0</v>
      </c>
      <c r="R437" s="118">
        <v>0</v>
      </c>
      <c r="S437" s="283">
        <v>2016</v>
      </c>
      <c r="T437" s="288">
        <f t="shared" si="20"/>
        <v>40016</v>
      </c>
    </row>
    <row r="438" spans="2:20">
      <c r="B438" s="386" t="s">
        <v>543</v>
      </c>
      <c r="C438" s="114"/>
      <c r="D438" s="111" t="s">
        <v>1546</v>
      </c>
      <c r="E438" s="111" t="s">
        <v>1587</v>
      </c>
      <c r="F438" s="111"/>
      <c r="G438" s="110" t="s">
        <v>2073</v>
      </c>
      <c r="H438" s="141">
        <v>2.521665</v>
      </c>
      <c r="I438" s="280"/>
      <c r="J438" s="72">
        <v>148.52000000000001</v>
      </c>
      <c r="K438" s="271">
        <f t="shared" si="18"/>
        <v>374.51768580000004</v>
      </c>
      <c r="L438" s="111"/>
      <c r="M438" s="73"/>
      <c r="N438" s="112"/>
      <c r="O438" s="111"/>
      <c r="P438" s="312">
        <v>0</v>
      </c>
      <c r="Q438" s="288">
        <f t="shared" si="19"/>
        <v>0</v>
      </c>
      <c r="R438" s="118">
        <v>0</v>
      </c>
      <c r="S438" s="283">
        <v>2016</v>
      </c>
      <c r="T438" s="288">
        <f t="shared" si="20"/>
        <v>406</v>
      </c>
    </row>
    <row r="439" spans="2:20">
      <c r="B439" s="386" t="s">
        <v>544</v>
      </c>
      <c r="C439" s="114"/>
      <c r="D439" s="111" t="s">
        <v>1546</v>
      </c>
      <c r="E439" s="111" t="s">
        <v>1587</v>
      </c>
      <c r="F439" s="111"/>
      <c r="G439" s="110" t="s">
        <v>2073</v>
      </c>
      <c r="H439" s="141">
        <v>128.07072600000001</v>
      </c>
      <c r="I439" s="280"/>
      <c r="J439" s="72">
        <v>148.52000000000001</v>
      </c>
      <c r="K439" s="271">
        <f t="shared" si="18"/>
        <v>19021.064225520004</v>
      </c>
      <c r="L439" s="111"/>
      <c r="M439" s="73"/>
      <c r="N439" s="112"/>
      <c r="O439" s="111"/>
      <c r="P439" s="312">
        <v>0</v>
      </c>
      <c r="Q439" s="288">
        <f t="shared" si="19"/>
        <v>0</v>
      </c>
      <c r="R439" s="118">
        <v>0</v>
      </c>
      <c r="S439" s="283">
        <v>2016</v>
      </c>
      <c r="T439" s="288">
        <f t="shared" si="20"/>
        <v>20611</v>
      </c>
    </row>
    <row r="440" spans="2:20">
      <c r="B440" s="386" t="s">
        <v>545</v>
      </c>
      <c r="C440" s="114"/>
      <c r="D440" s="111" t="s">
        <v>1546</v>
      </c>
      <c r="E440" s="111" t="s">
        <v>1587</v>
      </c>
      <c r="F440" s="111"/>
      <c r="G440" s="110" t="s">
        <v>2073</v>
      </c>
      <c r="H440" s="141">
        <v>175.14323300000001</v>
      </c>
      <c r="I440" s="280"/>
      <c r="J440" s="72">
        <v>148.52000000000001</v>
      </c>
      <c r="K440" s="271">
        <f t="shared" si="18"/>
        <v>26012.272965160002</v>
      </c>
      <c r="L440" s="111"/>
      <c r="M440" s="73"/>
      <c r="N440" s="112"/>
      <c r="O440" s="111"/>
      <c r="P440" s="312">
        <v>0</v>
      </c>
      <c r="Q440" s="288">
        <f t="shared" si="19"/>
        <v>0</v>
      </c>
      <c r="R440" s="118">
        <v>0</v>
      </c>
      <c r="S440" s="283">
        <v>2016</v>
      </c>
      <c r="T440" s="288">
        <f t="shared" si="20"/>
        <v>28187</v>
      </c>
    </row>
    <row r="441" spans="2:20">
      <c r="B441" s="386" t="s">
        <v>546</v>
      </c>
      <c r="C441" s="114"/>
      <c r="D441" s="111" t="s">
        <v>1546</v>
      </c>
      <c r="E441" s="111" t="s">
        <v>1587</v>
      </c>
      <c r="F441" s="111"/>
      <c r="G441" s="110" t="s">
        <v>2073</v>
      </c>
      <c r="H441" s="141">
        <v>154.28457</v>
      </c>
      <c r="I441" s="280"/>
      <c r="J441" s="72">
        <v>148.52000000000001</v>
      </c>
      <c r="K441" s="271">
        <f t="shared" si="18"/>
        <v>22914.344336400001</v>
      </c>
      <c r="L441" s="111"/>
      <c r="M441" s="73"/>
      <c r="N441" s="112"/>
      <c r="O441" s="111"/>
      <c r="P441" s="312">
        <v>0</v>
      </c>
      <c r="Q441" s="288">
        <f t="shared" si="19"/>
        <v>0</v>
      </c>
      <c r="R441" s="118">
        <v>0</v>
      </c>
      <c r="S441" s="283">
        <v>2016</v>
      </c>
      <c r="T441" s="288">
        <f t="shared" si="20"/>
        <v>24830</v>
      </c>
    </row>
    <row r="442" spans="2:20">
      <c r="B442" s="386" t="s">
        <v>547</v>
      </c>
      <c r="C442" s="114"/>
      <c r="D442" s="111" t="s">
        <v>1546</v>
      </c>
      <c r="E442" s="111" t="s">
        <v>1591</v>
      </c>
      <c r="F442" s="111"/>
      <c r="G442" s="110" t="s">
        <v>2073</v>
      </c>
      <c r="H442" s="141">
        <v>862.04040599999996</v>
      </c>
      <c r="I442" s="280"/>
      <c r="J442" s="72">
        <v>148.52000000000001</v>
      </c>
      <c r="K442" s="271">
        <f t="shared" si="18"/>
        <v>128030.24109912</v>
      </c>
      <c r="L442" s="111"/>
      <c r="M442" s="73"/>
      <c r="N442" s="112"/>
      <c r="O442" s="111"/>
      <c r="P442" s="312">
        <v>0</v>
      </c>
      <c r="Q442" s="288">
        <f t="shared" si="19"/>
        <v>0</v>
      </c>
      <c r="R442" s="118">
        <v>0</v>
      </c>
      <c r="S442" s="283">
        <v>2016</v>
      </c>
      <c r="T442" s="288">
        <f t="shared" si="20"/>
        <v>138732</v>
      </c>
    </row>
    <row r="443" spans="2:20">
      <c r="B443" s="386" t="s">
        <v>548</v>
      </c>
      <c r="C443" s="114"/>
      <c r="D443" s="111" t="s">
        <v>1546</v>
      </c>
      <c r="E443" s="111" t="s">
        <v>1591</v>
      </c>
      <c r="F443" s="111"/>
      <c r="G443" s="110" t="s">
        <v>2073</v>
      </c>
      <c r="H443" s="141">
        <v>82.975613999999993</v>
      </c>
      <c r="I443" s="280"/>
      <c r="J443" s="72">
        <v>148.52000000000001</v>
      </c>
      <c r="K443" s="271">
        <f t="shared" si="18"/>
        <v>12323.53819128</v>
      </c>
      <c r="L443" s="111"/>
      <c r="M443" s="73"/>
      <c r="N443" s="112"/>
      <c r="O443" s="111"/>
      <c r="P443" s="312">
        <v>0</v>
      </c>
      <c r="Q443" s="288">
        <f t="shared" si="19"/>
        <v>0</v>
      </c>
      <c r="R443" s="118">
        <v>0</v>
      </c>
      <c r="S443" s="283">
        <v>2016</v>
      </c>
      <c r="T443" s="288">
        <f t="shared" si="20"/>
        <v>13354</v>
      </c>
    </row>
    <row r="444" spans="2:20">
      <c r="B444" s="386" t="s">
        <v>549</v>
      </c>
      <c r="C444" s="114"/>
      <c r="D444" s="111" t="s">
        <v>1546</v>
      </c>
      <c r="E444" s="111" t="s">
        <v>1701</v>
      </c>
      <c r="F444" s="111"/>
      <c r="G444" s="110" t="s">
        <v>2073</v>
      </c>
      <c r="H444" s="141">
        <v>964.99009899999999</v>
      </c>
      <c r="I444" s="280"/>
      <c r="J444" s="72">
        <v>148.52000000000001</v>
      </c>
      <c r="K444" s="271">
        <f t="shared" si="18"/>
        <v>143320.32950348</v>
      </c>
      <c r="L444" s="111"/>
      <c r="M444" s="73"/>
      <c r="N444" s="112"/>
      <c r="O444" s="111"/>
      <c r="P444" s="312">
        <v>0</v>
      </c>
      <c r="Q444" s="288">
        <f t="shared" si="19"/>
        <v>0</v>
      </c>
      <c r="R444" s="118">
        <v>0</v>
      </c>
      <c r="S444" s="283">
        <v>2016</v>
      </c>
      <c r="T444" s="288">
        <f t="shared" si="20"/>
        <v>155300</v>
      </c>
    </row>
    <row r="445" spans="2:20">
      <c r="B445" s="386" t="s">
        <v>550</v>
      </c>
      <c r="C445" s="114"/>
      <c r="D445" s="111" t="s">
        <v>1547</v>
      </c>
      <c r="E445" s="111" t="s">
        <v>1713</v>
      </c>
      <c r="F445" s="111"/>
      <c r="G445" s="110" t="s">
        <v>2073</v>
      </c>
      <c r="H445" s="141">
        <v>201.98461900000001</v>
      </c>
      <c r="I445" s="280"/>
      <c r="J445" s="72">
        <v>148.52000000000001</v>
      </c>
      <c r="K445" s="271">
        <f t="shared" si="18"/>
        <v>29998.755613880003</v>
      </c>
      <c r="L445" s="111"/>
      <c r="M445" s="73"/>
      <c r="N445" s="112"/>
      <c r="O445" s="111"/>
      <c r="P445" s="312">
        <v>0</v>
      </c>
      <c r="Q445" s="288">
        <f t="shared" si="19"/>
        <v>0</v>
      </c>
      <c r="R445" s="118">
        <v>0</v>
      </c>
      <c r="S445" s="283">
        <v>2016</v>
      </c>
      <c r="T445" s="288">
        <f t="shared" si="20"/>
        <v>32506</v>
      </c>
    </row>
    <row r="446" spans="2:20">
      <c r="B446" s="386" t="s">
        <v>551</v>
      </c>
      <c r="C446" s="114"/>
      <c r="D446" s="111" t="s">
        <v>1546</v>
      </c>
      <c r="E446" s="111" t="s">
        <v>1714</v>
      </c>
      <c r="F446" s="111"/>
      <c r="G446" s="110" t="s">
        <v>2073</v>
      </c>
      <c r="H446" s="141">
        <v>55.751956999999997</v>
      </c>
      <c r="I446" s="280"/>
      <c r="J446" s="72">
        <v>148.52000000000001</v>
      </c>
      <c r="K446" s="271">
        <f t="shared" si="18"/>
        <v>8280.2806536400003</v>
      </c>
      <c r="L446" s="111"/>
      <c r="M446" s="73"/>
      <c r="N446" s="112"/>
      <c r="O446" s="111"/>
      <c r="P446" s="312">
        <v>0</v>
      </c>
      <c r="Q446" s="288">
        <f t="shared" si="19"/>
        <v>0</v>
      </c>
      <c r="R446" s="118">
        <v>0</v>
      </c>
      <c r="S446" s="283">
        <v>2016</v>
      </c>
      <c r="T446" s="288">
        <f t="shared" si="20"/>
        <v>8972</v>
      </c>
    </row>
    <row r="447" spans="2:20">
      <c r="B447" s="386" t="s">
        <v>552</v>
      </c>
      <c r="C447" s="114"/>
      <c r="D447" s="111" t="s">
        <v>1547</v>
      </c>
      <c r="E447" s="111" t="s">
        <v>1714</v>
      </c>
      <c r="F447" s="111"/>
      <c r="G447" s="110" t="s">
        <v>2073</v>
      </c>
      <c r="H447" s="141">
        <v>110.18194099999999</v>
      </c>
      <c r="I447" s="280"/>
      <c r="J447" s="72">
        <v>148.52000000000001</v>
      </c>
      <c r="K447" s="271">
        <f t="shared" si="18"/>
        <v>16364.22187732</v>
      </c>
      <c r="L447" s="111"/>
      <c r="M447" s="73"/>
      <c r="N447" s="112"/>
      <c r="O447" s="111"/>
      <c r="P447" s="312">
        <v>0</v>
      </c>
      <c r="Q447" s="288">
        <f t="shared" si="19"/>
        <v>0</v>
      </c>
      <c r="R447" s="118">
        <v>0</v>
      </c>
      <c r="S447" s="283">
        <v>2016</v>
      </c>
      <c r="T447" s="288">
        <f t="shared" si="20"/>
        <v>17732</v>
      </c>
    </row>
    <row r="448" spans="2:20">
      <c r="B448" s="386" t="s">
        <v>553</v>
      </c>
      <c r="C448" s="114"/>
      <c r="D448" s="111" t="s">
        <v>1547</v>
      </c>
      <c r="E448" s="111" t="s">
        <v>1715</v>
      </c>
      <c r="F448" s="111"/>
      <c r="G448" s="110" t="s">
        <v>2073</v>
      </c>
      <c r="H448" s="141">
        <v>110.040403</v>
      </c>
      <c r="I448" s="280"/>
      <c r="J448" s="72">
        <v>148.52000000000001</v>
      </c>
      <c r="K448" s="271">
        <f t="shared" si="18"/>
        <v>16343.200653560001</v>
      </c>
      <c r="L448" s="111"/>
      <c r="M448" s="73"/>
      <c r="N448" s="112"/>
      <c r="O448" s="111"/>
      <c r="P448" s="312">
        <v>0</v>
      </c>
      <c r="Q448" s="288">
        <f t="shared" si="19"/>
        <v>0</v>
      </c>
      <c r="R448" s="118">
        <v>0</v>
      </c>
      <c r="S448" s="283">
        <v>2016</v>
      </c>
      <c r="T448" s="288">
        <f t="shared" si="20"/>
        <v>17709</v>
      </c>
    </row>
    <row r="449" spans="2:20">
      <c r="B449" s="386" t="s">
        <v>554</v>
      </c>
      <c r="C449" s="114"/>
      <c r="D449" s="111" t="s">
        <v>1546</v>
      </c>
      <c r="E449" s="111" t="s">
        <v>1716</v>
      </c>
      <c r="F449" s="111"/>
      <c r="G449" s="110" t="s">
        <v>2073</v>
      </c>
      <c r="H449" s="141">
        <v>2174.950636</v>
      </c>
      <c r="I449" s="280"/>
      <c r="J449" s="72">
        <v>148.52000000000001</v>
      </c>
      <c r="K449" s="271">
        <f t="shared" ref="K449:K511" si="21">J449*H449</f>
        <v>323023.66845872003</v>
      </c>
      <c r="L449" s="111"/>
      <c r="M449" s="73"/>
      <c r="N449" s="112"/>
      <c r="O449" s="111"/>
      <c r="P449" s="312">
        <v>0</v>
      </c>
      <c r="Q449" s="288">
        <f t="shared" ref="Q449:Q511" si="22">IFERROR(R449/P449,0)</f>
        <v>0</v>
      </c>
      <c r="R449" s="118">
        <v>0</v>
      </c>
      <c r="S449" s="283">
        <v>2016</v>
      </c>
      <c r="T449" s="288">
        <f t="shared" si="20"/>
        <v>350025</v>
      </c>
    </row>
    <row r="450" spans="2:20">
      <c r="B450" s="386" t="s">
        <v>555</v>
      </c>
      <c r="C450" s="114"/>
      <c r="D450" s="111" t="s">
        <v>1546</v>
      </c>
      <c r="E450" s="111" t="s">
        <v>1717</v>
      </c>
      <c r="F450" s="111"/>
      <c r="G450" s="110" t="s">
        <v>2073</v>
      </c>
      <c r="H450" s="141">
        <v>97.671948999999998</v>
      </c>
      <c r="I450" s="280"/>
      <c r="J450" s="72">
        <v>148.52000000000001</v>
      </c>
      <c r="K450" s="271">
        <f t="shared" si="21"/>
        <v>14506.237865480001</v>
      </c>
      <c r="L450" s="111"/>
      <c r="M450" s="73"/>
      <c r="N450" s="112"/>
      <c r="O450" s="111"/>
      <c r="P450" s="312">
        <v>0</v>
      </c>
      <c r="Q450" s="288">
        <f t="shared" si="22"/>
        <v>0</v>
      </c>
      <c r="R450" s="118">
        <v>0</v>
      </c>
      <c r="S450" s="283">
        <v>2016</v>
      </c>
      <c r="T450" s="288">
        <f t="shared" si="20"/>
        <v>15719</v>
      </c>
    </row>
    <row r="451" spans="2:20">
      <c r="B451" s="386" t="s">
        <v>556</v>
      </c>
      <c r="C451" s="114"/>
      <c r="D451" s="111" t="s">
        <v>1546</v>
      </c>
      <c r="E451" s="111" t="s">
        <v>1717</v>
      </c>
      <c r="F451" s="111"/>
      <c r="G451" s="110" t="s">
        <v>2073</v>
      </c>
      <c r="H451" s="141">
        <v>126.060129</v>
      </c>
      <c r="I451" s="280"/>
      <c r="J451" s="72">
        <v>148.52000000000001</v>
      </c>
      <c r="K451" s="271">
        <f t="shared" si="21"/>
        <v>18722.450359080001</v>
      </c>
      <c r="L451" s="111"/>
      <c r="M451" s="73"/>
      <c r="N451" s="112"/>
      <c r="O451" s="111"/>
      <c r="P451" s="312">
        <v>0</v>
      </c>
      <c r="Q451" s="288">
        <f t="shared" si="22"/>
        <v>0</v>
      </c>
      <c r="R451" s="118">
        <v>0</v>
      </c>
      <c r="S451" s="283">
        <v>2016</v>
      </c>
      <c r="T451" s="288">
        <f t="shared" si="20"/>
        <v>20287</v>
      </c>
    </row>
    <row r="452" spans="2:20">
      <c r="B452" s="386" t="s">
        <v>557</v>
      </c>
      <c r="C452" s="114"/>
      <c r="D452" s="111" t="s">
        <v>1546</v>
      </c>
      <c r="E452" s="111" t="s">
        <v>1717</v>
      </c>
      <c r="F452" s="111"/>
      <c r="G452" s="110" t="s">
        <v>2073</v>
      </c>
      <c r="H452" s="141">
        <v>274.61258199999997</v>
      </c>
      <c r="I452" s="280"/>
      <c r="J452" s="72">
        <v>148.52000000000001</v>
      </c>
      <c r="K452" s="271">
        <f t="shared" si="21"/>
        <v>40785.460678639996</v>
      </c>
      <c r="L452" s="111"/>
      <c r="M452" s="73"/>
      <c r="N452" s="112"/>
      <c r="O452" s="111"/>
      <c r="P452" s="312">
        <v>0</v>
      </c>
      <c r="Q452" s="288">
        <f t="shared" si="22"/>
        <v>0</v>
      </c>
      <c r="R452" s="118">
        <v>0</v>
      </c>
      <c r="S452" s="283">
        <v>2016</v>
      </c>
      <c r="T452" s="288">
        <f t="shared" si="20"/>
        <v>44195</v>
      </c>
    </row>
    <row r="453" spans="2:20">
      <c r="B453" s="386" t="s">
        <v>558</v>
      </c>
      <c r="C453" s="114"/>
      <c r="D453" s="111" t="s">
        <v>1546</v>
      </c>
      <c r="E453" s="111" t="s">
        <v>1717</v>
      </c>
      <c r="F453" s="111"/>
      <c r="G453" s="110" t="s">
        <v>2073</v>
      </c>
      <c r="H453" s="141">
        <v>738.29141500000003</v>
      </c>
      <c r="I453" s="280"/>
      <c r="J453" s="72">
        <v>148.52000000000001</v>
      </c>
      <c r="K453" s="271">
        <f t="shared" si="21"/>
        <v>109651.04095580001</v>
      </c>
      <c r="L453" s="111"/>
      <c r="M453" s="73"/>
      <c r="N453" s="112"/>
      <c r="O453" s="111"/>
      <c r="P453" s="312">
        <v>0</v>
      </c>
      <c r="Q453" s="288">
        <f t="shared" si="22"/>
        <v>0</v>
      </c>
      <c r="R453" s="118">
        <v>0</v>
      </c>
      <c r="S453" s="283">
        <v>2016</v>
      </c>
      <c r="T453" s="288">
        <f t="shared" si="20"/>
        <v>118817</v>
      </c>
    </row>
    <row r="454" spans="2:20">
      <c r="B454" s="386" t="s">
        <v>559</v>
      </c>
      <c r="C454" s="114"/>
      <c r="D454" s="111" t="s">
        <v>1546</v>
      </c>
      <c r="E454" s="111" t="s">
        <v>1717</v>
      </c>
      <c r="F454" s="111"/>
      <c r="G454" s="110" t="s">
        <v>2073</v>
      </c>
      <c r="H454" s="141">
        <v>409.15473500000002</v>
      </c>
      <c r="I454" s="280"/>
      <c r="J454" s="72">
        <v>148.52000000000001</v>
      </c>
      <c r="K454" s="271">
        <f t="shared" si="21"/>
        <v>60767.661242200003</v>
      </c>
      <c r="L454" s="111"/>
      <c r="M454" s="73"/>
      <c r="N454" s="112"/>
      <c r="O454" s="111"/>
      <c r="P454" s="312">
        <v>0</v>
      </c>
      <c r="Q454" s="288">
        <f t="shared" si="22"/>
        <v>0</v>
      </c>
      <c r="R454" s="118">
        <v>0</v>
      </c>
      <c r="S454" s="283">
        <v>2016</v>
      </c>
      <c r="T454" s="288">
        <f t="shared" si="20"/>
        <v>65847</v>
      </c>
    </row>
    <row r="455" spans="2:20">
      <c r="B455" s="386" t="s">
        <v>560</v>
      </c>
      <c r="C455" s="114"/>
      <c r="D455" s="111" t="s">
        <v>1546</v>
      </c>
      <c r="E455" s="111" t="s">
        <v>1717</v>
      </c>
      <c r="F455" s="111"/>
      <c r="G455" s="110" t="s">
        <v>2073</v>
      </c>
      <c r="H455" s="141">
        <v>386.35039699999999</v>
      </c>
      <c r="I455" s="280"/>
      <c r="J455" s="72">
        <v>148.52000000000001</v>
      </c>
      <c r="K455" s="271">
        <f t="shared" si="21"/>
        <v>57380.760962439999</v>
      </c>
      <c r="L455" s="111"/>
      <c r="M455" s="73"/>
      <c r="N455" s="112"/>
      <c r="O455" s="111"/>
      <c r="P455" s="312">
        <v>0</v>
      </c>
      <c r="Q455" s="288">
        <f t="shared" si="22"/>
        <v>0</v>
      </c>
      <c r="R455" s="118">
        <v>0</v>
      </c>
      <c r="S455" s="283">
        <v>2016</v>
      </c>
      <c r="T455" s="288">
        <f t="shared" si="20"/>
        <v>62177</v>
      </c>
    </row>
    <row r="456" spans="2:20">
      <c r="B456" s="386" t="s">
        <v>561</v>
      </c>
      <c r="C456" s="114"/>
      <c r="D456" s="111" t="s">
        <v>1546</v>
      </c>
      <c r="E456" s="111" t="s">
        <v>1717</v>
      </c>
      <c r="F456" s="111"/>
      <c r="G456" s="110" t="s">
        <v>2073</v>
      </c>
      <c r="H456" s="141">
        <v>37.621282999999998</v>
      </c>
      <c r="I456" s="280"/>
      <c r="J456" s="72">
        <v>148.52000000000001</v>
      </c>
      <c r="K456" s="271">
        <f t="shared" si="21"/>
        <v>5587.5129511599998</v>
      </c>
      <c r="L456" s="111"/>
      <c r="M456" s="73"/>
      <c r="N456" s="112"/>
      <c r="O456" s="111"/>
      <c r="P456" s="312">
        <v>0</v>
      </c>
      <c r="Q456" s="288">
        <f t="shared" si="22"/>
        <v>0</v>
      </c>
      <c r="R456" s="118">
        <v>0</v>
      </c>
      <c r="S456" s="283">
        <v>2016</v>
      </c>
      <c r="T456" s="288">
        <f t="shared" si="20"/>
        <v>6055</v>
      </c>
    </row>
    <row r="457" spans="2:20">
      <c r="B457" s="386" t="s">
        <v>562</v>
      </c>
      <c r="C457" s="114"/>
      <c r="D457" s="111" t="s">
        <v>1546</v>
      </c>
      <c r="E457" s="111" t="s">
        <v>1717</v>
      </c>
      <c r="F457" s="111"/>
      <c r="G457" s="110" t="s">
        <v>2073</v>
      </c>
      <c r="H457" s="141">
        <v>188.09436500000001</v>
      </c>
      <c r="I457" s="280"/>
      <c r="J457" s="72">
        <v>148.52000000000001</v>
      </c>
      <c r="K457" s="271">
        <f t="shared" si="21"/>
        <v>27935.775089800005</v>
      </c>
      <c r="L457" s="111"/>
      <c r="M457" s="73"/>
      <c r="N457" s="112"/>
      <c r="O457" s="111"/>
      <c r="P457" s="312">
        <v>0</v>
      </c>
      <c r="Q457" s="288">
        <f t="shared" si="22"/>
        <v>0</v>
      </c>
      <c r="R457" s="118">
        <v>0</v>
      </c>
      <c r="S457" s="283">
        <v>2016</v>
      </c>
      <c r="T457" s="288">
        <f t="shared" si="20"/>
        <v>30271</v>
      </c>
    </row>
    <row r="458" spans="2:20">
      <c r="B458" s="386" t="s">
        <v>563</v>
      </c>
      <c r="C458" s="114"/>
      <c r="D458" s="111" t="s">
        <v>1546</v>
      </c>
      <c r="E458" s="111" t="s">
        <v>1717</v>
      </c>
      <c r="F458" s="111"/>
      <c r="G458" s="110" t="s">
        <v>2073</v>
      </c>
      <c r="H458" s="141">
        <v>119.25977</v>
      </c>
      <c r="I458" s="280"/>
      <c r="J458" s="72">
        <v>148.52000000000001</v>
      </c>
      <c r="K458" s="271">
        <f t="shared" si="21"/>
        <v>17712.461040400001</v>
      </c>
      <c r="L458" s="111"/>
      <c r="M458" s="73"/>
      <c r="N458" s="112"/>
      <c r="O458" s="111"/>
      <c r="P458" s="312">
        <v>0</v>
      </c>
      <c r="Q458" s="288">
        <f t="shared" si="22"/>
        <v>0</v>
      </c>
      <c r="R458" s="118">
        <v>0</v>
      </c>
      <c r="S458" s="283">
        <v>2016</v>
      </c>
      <c r="T458" s="288">
        <f t="shared" si="20"/>
        <v>19193</v>
      </c>
    </row>
    <row r="459" spans="2:20">
      <c r="B459" s="386" t="s">
        <v>564</v>
      </c>
      <c r="C459" s="114"/>
      <c r="D459" s="111" t="s">
        <v>1546</v>
      </c>
      <c r="E459" s="111" t="s">
        <v>1717</v>
      </c>
      <c r="F459" s="111"/>
      <c r="G459" s="110" t="s">
        <v>2073</v>
      </c>
      <c r="H459" s="141">
        <v>489.78356600000001</v>
      </c>
      <c r="I459" s="280"/>
      <c r="J459" s="72">
        <v>148.52000000000001</v>
      </c>
      <c r="K459" s="271">
        <f t="shared" si="21"/>
        <v>72742.655222320012</v>
      </c>
      <c r="L459" s="111"/>
      <c r="M459" s="73"/>
      <c r="N459" s="112"/>
      <c r="O459" s="111"/>
      <c r="P459" s="312">
        <v>0</v>
      </c>
      <c r="Q459" s="288">
        <f t="shared" si="22"/>
        <v>0</v>
      </c>
      <c r="R459" s="118">
        <v>0</v>
      </c>
      <c r="S459" s="283">
        <v>2016</v>
      </c>
      <c r="T459" s="288">
        <f t="shared" si="20"/>
        <v>78823</v>
      </c>
    </row>
    <row r="460" spans="2:20">
      <c r="B460" s="386" t="s">
        <v>565</v>
      </c>
      <c r="C460" s="114"/>
      <c r="D460" s="111" t="s">
        <v>1546</v>
      </c>
      <c r="E460" s="111" t="s">
        <v>1717</v>
      </c>
      <c r="F460" s="111"/>
      <c r="G460" s="110" t="s">
        <v>2073</v>
      </c>
      <c r="H460" s="141">
        <v>343.92986300000001</v>
      </c>
      <c r="I460" s="280"/>
      <c r="J460" s="72">
        <v>148.52000000000001</v>
      </c>
      <c r="K460" s="271">
        <f t="shared" si="21"/>
        <v>51080.463252760004</v>
      </c>
      <c r="L460" s="111"/>
      <c r="M460" s="73"/>
      <c r="N460" s="112"/>
      <c r="O460" s="111"/>
      <c r="P460" s="312">
        <v>0</v>
      </c>
      <c r="Q460" s="288">
        <f t="shared" si="22"/>
        <v>0</v>
      </c>
      <c r="R460" s="118">
        <v>0</v>
      </c>
      <c r="S460" s="283">
        <v>2016</v>
      </c>
      <c r="T460" s="288">
        <f t="shared" si="20"/>
        <v>55350</v>
      </c>
    </row>
    <row r="461" spans="2:20">
      <c r="B461" s="386" t="s">
        <v>566</v>
      </c>
      <c r="C461" s="114"/>
      <c r="D461" s="111" t="s">
        <v>1546</v>
      </c>
      <c r="E461" s="111" t="s">
        <v>1717</v>
      </c>
      <c r="F461" s="111"/>
      <c r="G461" s="110" t="s">
        <v>2073</v>
      </c>
      <c r="H461" s="141">
        <v>2324.2225979999998</v>
      </c>
      <c r="I461" s="280"/>
      <c r="J461" s="72">
        <v>148.52000000000001</v>
      </c>
      <c r="K461" s="271">
        <f t="shared" si="21"/>
        <v>345193.54025496001</v>
      </c>
      <c r="L461" s="111"/>
      <c r="M461" s="73"/>
      <c r="N461" s="112"/>
      <c r="O461" s="111"/>
      <c r="P461" s="312">
        <v>0</v>
      </c>
      <c r="Q461" s="288">
        <f t="shared" si="22"/>
        <v>0</v>
      </c>
      <c r="R461" s="118">
        <v>0</v>
      </c>
      <c r="S461" s="283">
        <v>2016</v>
      </c>
      <c r="T461" s="288">
        <f t="shared" ref="T461:T524" si="23">IFERROR(ROUND((K461*(1+PPI_Existing)^(YEAR-S461))+(R461*((1+LandInd_Existing)^(YEAR-S461))),0),0)</f>
        <v>374048</v>
      </c>
    </row>
    <row r="462" spans="2:20">
      <c r="B462" s="386" t="s">
        <v>567</v>
      </c>
      <c r="C462" s="114"/>
      <c r="D462" s="111" t="s">
        <v>1547</v>
      </c>
      <c r="E462" s="111" t="s">
        <v>1717</v>
      </c>
      <c r="F462" s="111"/>
      <c r="G462" s="110" t="s">
        <v>2073</v>
      </c>
      <c r="H462" s="141">
        <v>20.436541999999999</v>
      </c>
      <c r="I462" s="280"/>
      <c r="J462" s="72">
        <v>148.52000000000001</v>
      </c>
      <c r="K462" s="271">
        <f t="shared" si="21"/>
        <v>3035.2352178400001</v>
      </c>
      <c r="L462" s="111"/>
      <c r="M462" s="73"/>
      <c r="N462" s="112"/>
      <c r="O462" s="111"/>
      <c r="P462" s="312">
        <v>0.37085248999999998</v>
      </c>
      <c r="Q462" s="288">
        <f t="shared" si="22"/>
        <v>41.196048596033428</v>
      </c>
      <c r="R462" s="118">
        <v>15.2776572</v>
      </c>
      <c r="S462" s="283">
        <v>2016</v>
      </c>
      <c r="T462" s="288">
        <f t="shared" si="23"/>
        <v>3306</v>
      </c>
    </row>
    <row r="463" spans="2:20">
      <c r="B463" s="386" t="s">
        <v>568</v>
      </c>
      <c r="C463" s="114"/>
      <c r="D463" s="111" t="s">
        <v>1546</v>
      </c>
      <c r="E463" s="111" t="s">
        <v>1718</v>
      </c>
      <c r="F463" s="111"/>
      <c r="G463" s="110" t="s">
        <v>2073</v>
      </c>
      <c r="H463" s="141">
        <v>2397.5457590000001</v>
      </c>
      <c r="I463" s="280"/>
      <c r="J463" s="72">
        <v>148.52000000000001</v>
      </c>
      <c r="K463" s="271">
        <f t="shared" si="21"/>
        <v>356083.49612668005</v>
      </c>
      <c r="L463" s="111"/>
      <c r="M463" s="73"/>
      <c r="N463" s="112"/>
      <c r="O463" s="111"/>
      <c r="P463" s="312">
        <v>9.2310583499999996</v>
      </c>
      <c r="Q463" s="288">
        <f t="shared" si="22"/>
        <v>14.999999972917516</v>
      </c>
      <c r="R463" s="118">
        <v>138.46587500000001</v>
      </c>
      <c r="S463" s="283">
        <v>2016</v>
      </c>
      <c r="T463" s="288">
        <f t="shared" si="23"/>
        <v>385999</v>
      </c>
    </row>
    <row r="464" spans="2:20">
      <c r="B464" s="386" t="s">
        <v>569</v>
      </c>
      <c r="C464" s="114"/>
      <c r="D464" s="111" t="s">
        <v>1547</v>
      </c>
      <c r="E464" s="111" t="s">
        <v>1719</v>
      </c>
      <c r="F464" s="111"/>
      <c r="G464" s="110" t="s">
        <v>2074</v>
      </c>
      <c r="H464" s="141">
        <v>865.57214399999998</v>
      </c>
      <c r="I464" s="280"/>
      <c r="J464" s="72">
        <v>148.52000000000001</v>
      </c>
      <c r="K464" s="271">
        <f t="shared" si="21"/>
        <v>128554.77482688001</v>
      </c>
      <c r="L464" s="111"/>
      <c r="M464" s="73"/>
      <c r="N464" s="112"/>
      <c r="O464" s="111"/>
      <c r="P464" s="312">
        <v>0</v>
      </c>
      <c r="Q464" s="288">
        <f t="shared" si="22"/>
        <v>0</v>
      </c>
      <c r="R464" s="118">
        <v>0</v>
      </c>
      <c r="S464" s="283">
        <v>2016</v>
      </c>
      <c r="T464" s="288">
        <f t="shared" si="23"/>
        <v>139301</v>
      </c>
    </row>
    <row r="465" spans="2:20">
      <c r="B465" s="386" t="s">
        <v>570</v>
      </c>
      <c r="C465" s="114"/>
      <c r="D465" s="111" t="s">
        <v>1547</v>
      </c>
      <c r="E465" s="111" t="s">
        <v>1720</v>
      </c>
      <c r="F465" s="111"/>
      <c r="G465" s="110" t="s">
        <v>2073</v>
      </c>
      <c r="H465" s="141">
        <v>467.07407999999998</v>
      </c>
      <c r="I465" s="280"/>
      <c r="J465" s="72">
        <v>148.52000000000001</v>
      </c>
      <c r="K465" s="271">
        <f t="shared" si="21"/>
        <v>69369.842361600007</v>
      </c>
      <c r="L465" s="111"/>
      <c r="M465" s="73"/>
      <c r="N465" s="112"/>
      <c r="O465" s="111"/>
      <c r="P465" s="312">
        <v>0</v>
      </c>
      <c r="Q465" s="288">
        <f t="shared" si="22"/>
        <v>0</v>
      </c>
      <c r="R465" s="118">
        <v>0</v>
      </c>
      <c r="S465" s="283">
        <v>2016</v>
      </c>
      <c r="T465" s="288">
        <f t="shared" si="23"/>
        <v>75168</v>
      </c>
    </row>
    <row r="466" spans="2:20">
      <c r="B466" s="386" t="s">
        <v>571</v>
      </c>
      <c r="C466" s="114"/>
      <c r="D466" s="111" t="s">
        <v>1547</v>
      </c>
      <c r="E466" s="111" t="s">
        <v>1721</v>
      </c>
      <c r="F466" s="111"/>
      <c r="G466" s="110" t="s">
        <v>2073</v>
      </c>
      <c r="H466" s="141">
        <v>9.8791639999999994</v>
      </c>
      <c r="I466" s="280"/>
      <c r="J466" s="72">
        <v>148.52000000000001</v>
      </c>
      <c r="K466" s="271">
        <f t="shared" si="21"/>
        <v>1467.2534372800001</v>
      </c>
      <c r="L466" s="111"/>
      <c r="M466" s="73"/>
      <c r="N466" s="112"/>
      <c r="O466" s="111"/>
      <c r="P466" s="312">
        <v>0</v>
      </c>
      <c r="Q466" s="288">
        <f t="shared" si="22"/>
        <v>0</v>
      </c>
      <c r="R466" s="118">
        <v>0</v>
      </c>
      <c r="S466" s="283">
        <v>2016</v>
      </c>
      <c r="T466" s="288">
        <f t="shared" si="23"/>
        <v>1590</v>
      </c>
    </row>
    <row r="467" spans="2:20">
      <c r="B467" s="386" t="s">
        <v>572</v>
      </c>
      <c r="C467" s="114"/>
      <c r="D467" s="111" t="s">
        <v>1546</v>
      </c>
      <c r="E467" s="111" t="s">
        <v>1722</v>
      </c>
      <c r="F467" s="111"/>
      <c r="G467" s="110" t="s">
        <v>2073</v>
      </c>
      <c r="H467" s="141">
        <v>957.04835300000002</v>
      </c>
      <c r="I467" s="280"/>
      <c r="J467" s="72">
        <v>148.52000000000001</v>
      </c>
      <c r="K467" s="271">
        <f t="shared" si="21"/>
        <v>142140.82138756002</v>
      </c>
      <c r="L467" s="111"/>
      <c r="M467" s="73"/>
      <c r="N467" s="112"/>
      <c r="O467" s="111"/>
      <c r="P467" s="312">
        <v>386.015399</v>
      </c>
      <c r="Q467" s="288">
        <f t="shared" si="22"/>
        <v>15.000000012952851</v>
      </c>
      <c r="R467" s="118">
        <v>5790.23099</v>
      </c>
      <c r="S467" s="283">
        <v>2016</v>
      </c>
      <c r="T467" s="288">
        <f t="shared" si="23"/>
        <v>160307</v>
      </c>
    </row>
    <row r="468" spans="2:20">
      <c r="B468" s="386" t="s">
        <v>573</v>
      </c>
      <c r="C468" s="114"/>
      <c r="D468" s="111" t="s">
        <v>1546</v>
      </c>
      <c r="E468" s="111" t="s">
        <v>1722</v>
      </c>
      <c r="F468" s="111"/>
      <c r="G468" s="110" t="s">
        <v>2073</v>
      </c>
      <c r="H468" s="141">
        <v>44.486536000000001</v>
      </c>
      <c r="I468" s="280"/>
      <c r="J468" s="72">
        <v>148.52000000000001</v>
      </c>
      <c r="K468" s="271">
        <f t="shared" si="21"/>
        <v>6607.1403267200003</v>
      </c>
      <c r="L468" s="111"/>
      <c r="M468" s="73"/>
      <c r="N468" s="112"/>
      <c r="O468" s="111"/>
      <c r="P468" s="312">
        <v>0</v>
      </c>
      <c r="Q468" s="288">
        <f t="shared" si="22"/>
        <v>0</v>
      </c>
      <c r="R468" s="118">
        <v>0</v>
      </c>
      <c r="S468" s="283">
        <v>2016</v>
      </c>
      <c r="T468" s="288">
        <f t="shared" si="23"/>
        <v>7159</v>
      </c>
    </row>
    <row r="469" spans="2:20">
      <c r="B469" s="386" t="s">
        <v>574</v>
      </c>
      <c r="C469" s="114"/>
      <c r="D469" s="111" t="s">
        <v>1546</v>
      </c>
      <c r="E469" s="111" t="s">
        <v>1722</v>
      </c>
      <c r="F469" s="111"/>
      <c r="G469" s="110" t="s">
        <v>2073</v>
      </c>
      <c r="H469" s="141">
        <v>63.561911000000002</v>
      </c>
      <c r="I469" s="280"/>
      <c r="J469" s="72">
        <v>148.52000000000001</v>
      </c>
      <c r="K469" s="271">
        <f t="shared" si="21"/>
        <v>9440.2150217200015</v>
      </c>
      <c r="L469" s="111"/>
      <c r="M469" s="73"/>
      <c r="N469" s="112"/>
      <c r="O469" s="111"/>
      <c r="P469" s="312">
        <v>0</v>
      </c>
      <c r="Q469" s="288">
        <f t="shared" si="22"/>
        <v>0</v>
      </c>
      <c r="R469" s="118">
        <v>0</v>
      </c>
      <c r="S469" s="283">
        <v>2016</v>
      </c>
      <c r="T469" s="288">
        <f t="shared" si="23"/>
        <v>10229</v>
      </c>
    </row>
    <row r="470" spans="2:20">
      <c r="B470" s="386" t="s">
        <v>575</v>
      </c>
      <c r="C470" s="114"/>
      <c r="D470" s="111" t="s">
        <v>1547</v>
      </c>
      <c r="E470" s="111" t="s">
        <v>1723</v>
      </c>
      <c r="F470" s="111"/>
      <c r="G470" s="110" t="s">
        <v>2073</v>
      </c>
      <c r="H470" s="141">
        <v>1677.6575150000001</v>
      </c>
      <c r="I470" s="280"/>
      <c r="J470" s="72">
        <v>148.52000000000001</v>
      </c>
      <c r="K470" s="271">
        <f t="shared" si="21"/>
        <v>249165.69412780003</v>
      </c>
      <c r="L470" s="111"/>
      <c r="M470" s="73"/>
      <c r="N470" s="112"/>
      <c r="O470" s="111"/>
      <c r="P470" s="312">
        <v>0</v>
      </c>
      <c r="Q470" s="288">
        <f t="shared" si="22"/>
        <v>0</v>
      </c>
      <c r="R470" s="118">
        <v>0</v>
      </c>
      <c r="S470" s="283">
        <v>2016</v>
      </c>
      <c r="T470" s="288">
        <f t="shared" si="23"/>
        <v>269993</v>
      </c>
    </row>
    <row r="471" spans="2:20">
      <c r="B471" s="386" t="s">
        <v>576</v>
      </c>
      <c r="C471" s="114"/>
      <c r="D471" s="111" t="s">
        <v>1546</v>
      </c>
      <c r="E471" s="111" t="s">
        <v>1724</v>
      </c>
      <c r="F471" s="111"/>
      <c r="G471" s="110" t="s">
        <v>2073</v>
      </c>
      <c r="H471" s="141">
        <v>381.48043000000001</v>
      </c>
      <c r="I471" s="280"/>
      <c r="J471" s="72">
        <v>148.52000000000001</v>
      </c>
      <c r="K471" s="271">
        <f t="shared" si="21"/>
        <v>56657.473463600007</v>
      </c>
      <c r="L471" s="111"/>
      <c r="M471" s="73"/>
      <c r="N471" s="112"/>
      <c r="O471" s="111"/>
      <c r="P471" s="312">
        <v>0</v>
      </c>
      <c r="Q471" s="288">
        <f t="shared" si="22"/>
        <v>0</v>
      </c>
      <c r="R471" s="118">
        <v>0</v>
      </c>
      <c r="S471" s="283">
        <v>2016</v>
      </c>
      <c r="T471" s="288">
        <f t="shared" si="23"/>
        <v>61393</v>
      </c>
    </row>
    <row r="472" spans="2:20">
      <c r="B472" s="386" t="s">
        <v>577</v>
      </c>
      <c r="C472" s="114"/>
      <c r="D472" s="111" t="s">
        <v>1547</v>
      </c>
      <c r="E472" s="111" t="s">
        <v>1725</v>
      </c>
      <c r="F472" s="111"/>
      <c r="G472" s="110" t="s">
        <v>2073</v>
      </c>
      <c r="H472" s="141">
        <v>302.70274599999999</v>
      </c>
      <c r="I472" s="280"/>
      <c r="J472" s="72">
        <v>148.52000000000001</v>
      </c>
      <c r="K472" s="271">
        <f t="shared" si="21"/>
        <v>44957.41183592</v>
      </c>
      <c r="L472" s="111"/>
      <c r="M472" s="73"/>
      <c r="N472" s="112"/>
      <c r="O472" s="111"/>
      <c r="P472" s="312">
        <v>0</v>
      </c>
      <c r="Q472" s="288">
        <f t="shared" si="22"/>
        <v>0</v>
      </c>
      <c r="R472" s="118">
        <v>0</v>
      </c>
      <c r="S472" s="283">
        <v>2016</v>
      </c>
      <c r="T472" s="288">
        <f t="shared" si="23"/>
        <v>48715</v>
      </c>
    </row>
    <row r="473" spans="2:20">
      <c r="B473" s="386" t="s">
        <v>578</v>
      </c>
      <c r="C473" s="114"/>
      <c r="D473" s="111" t="s">
        <v>1547</v>
      </c>
      <c r="E473" s="111" t="s">
        <v>1611</v>
      </c>
      <c r="F473" s="111"/>
      <c r="G473" s="110" t="s">
        <v>2073</v>
      </c>
      <c r="H473" s="141">
        <v>223.623615</v>
      </c>
      <c r="I473" s="280"/>
      <c r="J473" s="72">
        <v>148.52000000000001</v>
      </c>
      <c r="K473" s="271">
        <f t="shared" si="21"/>
        <v>33212.579299800003</v>
      </c>
      <c r="L473" s="111"/>
      <c r="M473" s="73"/>
      <c r="N473" s="112"/>
      <c r="O473" s="111"/>
      <c r="P473" s="312">
        <v>0</v>
      </c>
      <c r="Q473" s="288">
        <f t="shared" si="22"/>
        <v>0</v>
      </c>
      <c r="R473" s="118">
        <v>0</v>
      </c>
      <c r="S473" s="283">
        <v>2016</v>
      </c>
      <c r="T473" s="288">
        <f t="shared" si="23"/>
        <v>35989</v>
      </c>
    </row>
    <row r="474" spans="2:20">
      <c r="B474" s="386" t="s">
        <v>579</v>
      </c>
      <c r="C474" s="114"/>
      <c r="D474" s="111" t="s">
        <v>1547</v>
      </c>
      <c r="E474" s="111" t="s">
        <v>1611</v>
      </c>
      <c r="F474" s="111"/>
      <c r="G474" s="110" t="s">
        <v>2073</v>
      </c>
      <c r="H474" s="141">
        <v>8.4656330000000004</v>
      </c>
      <c r="I474" s="280"/>
      <c r="J474" s="72">
        <v>148.52000000000001</v>
      </c>
      <c r="K474" s="271">
        <f t="shared" si="21"/>
        <v>1257.3158131600001</v>
      </c>
      <c r="L474" s="111"/>
      <c r="M474" s="73"/>
      <c r="N474" s="112"/>
      <c r="O474" s="111"/>
      <c r="P474" s="312">
        <v>0</v>
      </c>
      <c r="Q474" s="288">
        <f t="shared" si="22"/>
        <v>0</v>
      </c>
      <c r="R474" s="118">
        <v>0</v>
      </c>
      <c r="S474" s="283">
        <v>2016</v>
      </c>
      <c r="T474" s="288">
        <f t="shared" si="23"/>
        <v>1362</v>
      </c>
    </row>
    <row r="475" spans="2:20">
      <c r="B475" s="386" t="s">
        <v>580</v>
      </c>
      <c r="C475" s="114"/>
      <c r="D475" s="111" t="s">
        <v>1547</v>
      </c>
      <c r="E475" s="111" t="s">
        <v>1611</v>
      </c>
      <c r="F475" s="111"/>
      <c r="G475" s="110" t="s">
        <v>2073</v>
      </c>
      <c r="H475" s="141">
        <v>45.232401000000003</v>
      </c>
      <c r="I475" s="280"/>
      <c r="J475" s="72">
        <v>148.52000000000001</v>
      </c>
      <c r="K475" s="271">
        <f t="shared" si="21"/>
        <v>6717.916196520001</v>
      </c>
      <c r="L475" s="111"/>
      <c r="M475" s="73"/>
      <c r="N475" s="112"/>
      <c r="O475" s="111"/>
      <c r="P475" s="312">
        <v>0</v>
      </c>
      <c r="Q475" s="288">
        <f t="shared" si="22"/>
        <v>0</v>
      </c>
      <c r="R475" s="118">
        <v>0</v>
      </c>
      <c r="S475" s="283">
        <v>2016</v>
      </c>
      <c r="T475" s="288">
        <f t="shared" si="23"/>
        <v>7279</v>
      </c>
    </row>
    <row r="476" spans="2:20">
      <c r="B476" s="386" t="s">
        <v>581</v>
      </c>
      <c r="C476" s="114"/>
      <c r="D476" s="111" t="s">
        <v>1547</v>
      </c>
      <c r="E476" s="111" t="s">
        <v>1726</v>
      </c>
      <c r="F476" s="111"/>
      <c r="G476" s="110" t="s">
        <v>2073</v>
      </c>
      <c r="H476" s="141">
        <v>880.57621800000004</v>
      </c>
      <c r="I476" s="280"/>
      <c r="J476" s="72">
        <v>148.52000000000001</v>
      </c>
      <c r="K476" s="271">
        <f t="shared" si="21"/>
        <v>130783.17989736001</v>
      </c>
      <c r="L476" s="111"/>
      <c r="M476" s="73"/>
      <c r="N476" s="112"/>
      <c r="O476" s="111"/>
      <c r="P476" s="312">
        <v>0</v>
      </c>
      <c r="Q476" s="288">
        <f t="shared" si="22"/>
        <v>0</v>
      </c>
      <c r="R476" s="118">
        <v>0</v>
      </c>
      <c r="S476" s="283">
        <v>2016</v>
      </c>
      <c r="T476" s="288">
        <f t="shared" si="23"/>
        <v>141715</v>
      </c>
    </row>
    <row r="477" spans="2:20">
      <c r="B477" s="386" t="s">
        <v>582</v>
      </c>
      <c r="C477" s="114"/>
      <c r="D477" s="111" t="s">
        <v>1547</v>
      </c>
      <c r="E477" s="111" t="s">
        <v>1726</v>
      </c>
      <c r="F477" s="111"/>
      <c r="G477" s="110" t="s">
        <v>2073</v>
      </c>
      <c r="H477" s="141">
        <v>5.5574960000000004</v>
      </c>
      <c r="I477" s="280"/>
      <c r="J477" s="72">
        <v>148.52000000000001</v>
      </c>
      <c r="K477" s="271">
        <f t="shared" si="21"/>
        <v>825.39930592000007</v>
      </c>
      <c r="L477" s="111"/>
      <c r="M477" s="73"/>
      <c r="N477" s="112"/>
      <c r="O477" s="111"/>
      <c r="P477" s="312">
        <v>0</v>
      </c>
      <c r="Q477" s="288">
        <f t="shared" si="22"/>
        <v>0</v>
      </c>
      <c r="R477" s="118">
        <v>0</v>
      </c>
      <c r="S477" s="283">
        <v>2016</v>
      </c>
      <c r="T477" s="288">
        <f t="shared" si="23"/>
        <v>894</v>
      </c>
    </row>
    <row r="478" spans="2:20">
      <c r="B478" s="386" t="s">
        <v>583</v>
      </c>
      <c r="C478" s="114"/>
      <c r="D478" s="111" t="s">
        <v>1547</v>
      </c>
      <c r="E478" s="111" t="s">
        <v>1612</v>
      </c>
      <c r="F478" s="111"/>
      <c r="G478" s="110" t="s">
        <v>2073</v>
      </c>
      <c r="H478" s="141">
        <v>628.13252699999998</v>
      </c>
      <c r="I478" s="280"/>
      <c r="J478" s="72">
        <v>148.52000000000001</v>
      </c>
      <c r="K478" s="271">
        <f t="shared" si="21"/>
        <v>93290.242910040004</v>
      </c>
      <c r="L478" s="111"/>
      <c r="M478" s="73"/>
      <c r="N478" s="112"/>
      <c r="O478" s="111"/>
      <c r="P478" s="312">
        <v>0</v>
      </c>
      <c r="Q478" s="288">
        <f t="shared" si="22"/>
        <v>0</v>
      </c>
      <c r="R478" s="118">
        <v>0</v>
      </c>
      <c r="S478" s="283">
        <v>2016</v>
      </c>
      <c r="T478" s="288">
        <f t="shared" si="23"/>
        <v>101088</v>
      </c>
    </row>
    <row r="479" spans="2:20">
      <c r="B479" s="386" t="s">
        <v>584</v>
      </c>
      <c r="C479" s="114"/>
      <c r="D479" s="111" t="s">
        <v>1547</v>
      </c>
      <c r="E479" s="111" t="s">
        <v>1612</v>
      </c>
      <c r="F479" s="111"/>
      <c r="G479" s="110" t="s">
        <v>2073</v>
      </c>
      <c r="H479" s="141">
        <v>34.214503000000001</v>
      </c>
      <c r="I479" s="280"/>
      <c r="J479" s="72">
        <v>148.52000000000001</v>
      </c>
      <c r="K479" s="271">
        <f t="shared" si="21"/>
        <v>5081.5379855600004</v>
      </c>
      <c r="L479" s="111"/>
      <c r="M479" s="73"/>
      <c r="N479" s="112"/>
      <c r="O479" s="111"/>
      <c r="P479" s="312">
        <v>0</v>
      </c>
      <c r="Q479" s="288">
        <f t="shared" si="22"/>
        <v>0</v>
      </c>
      <c r="R479" s="118">
        <v>0</v>
      </c>
      <c r="S479" s="283">
        <v>2016</v>
      </c>
      <c r="T479" s="288">
        <f t="shared" si="23"/>
        <v>5506</v>
      </c>
    </row>
    <row r="480" spans="2:20">
      <c r="B480" s="386" t="s">
        <v>585</v>
      </c>
      <c r="C480" s="114"/>
      <c r="D480" s="111" t="s">
        <v>1546</v>
      </c>
      <c r="E480" s="111" t="s">
        <v>1727</v>
      </c>
      <c r="F480" s="111"/>
      <c r="G480" s="110" t="s">
        <v>2073</v>
      </c>
      <c r="H480" s="141">
        <v>359.20731699999999</v>
      </c>
      <c r="I480" s="280"/>
      <c r="J480" s="72">
        <v>148.52000000000001</v>
      </c>
      <c r="K480" s="271">
        <f t="shared" si="21"/>
        <v>53349.47072084</v>
      </c>
      <c r="L480" s="111"/>
      <c r="M480" s="73"/>
      <c r="N480" s="112"/>
      <c r="O480" s="111"/>
      <c r="P480" s="312">
        <v>0</v>
      </c>
      <c r="Q480" s="288">
        <f t="shared" si="22"/>
        <v>0</v>
      </c>
      <c r="R480" s="118">
        <v>0</v>
      </c>
      <c r="S480" s="283">
        <v>2016</v>
      </c>
      <c r="T480" s="288">
        <f t="shared" si="23"/>
        <v>57809</v>
      </c>
    </row>
    <row r="481" spans="2:20">
      <c r="B481" s="386" t="s">
        <v>586</v>
      </c>
      <c r="C481" s="114"/>
      <c r="D481" s="111" t="s">
        <v>1546</v>
      </c>
      <c r="E481" s="111" t="s">
        <v>1728</v>
      </c>
      <c r="F481" s="111"/>
      <c r="G481" s="110" t="s">
        <v>2073</v>
      </c>
      <c r="H481" s="141">
        <v>256.53417999999999</v>
      </c>
      <c r="I481" s="280"/>
      <c r="J481" s="72">
        <v>148.52000000000001</v>
      </c>
      <c r="K481" s="271">
        <f t="shared" si="21"/>
        <v>38100.456413600004</v>
      </c>
      <c r="L481" s="111"/>
      <c r="M481" s="73"/>
      <c r="N481" s="112"/>
      <c r="O481" s="111"/>
      <c r="P481" s="312">
        <v>0</v>
      </c>
      <c r="Q481" s="288">
        <f t="shared" si="22"/>
        <v>0</v>
      </c>
      <c r="R481" s="118">
        <v>0</v>
      </c>
      <c r="S481" s="283">
        <v>2016</v>
      </c>
      <c r="T481" s="288">
        <f t="shared" si="23"/>
        <v>41285</v>
      </c>
    </row>
    <row r="482" spans="2:20">
      <c r="B482" s="386" t="s">
        <v>587</v>
      </c>
      <c r="C482" s="114"/>
      <c r="D482" s="111" t="s">
        <v>1546</v>
      </c>
      <c r="E482" s="111" t="s">
        <v>1729</v>
      </c>
      <c r="F482" s="111"/>
      <c r="G482" s="110" t="s">
        <v>2073</v>
      </c>
      <c r="H482" s="141">
        <v>16.486238</v>
      </c>
      <c r="I482" s="280"/>
      <c r="J482" s="72">
        <v>148.52000000000001</v>
      </c>
      <c r="K482" s="271">
        <f t="shared" si="21"/>
        <v>2448.5360677600002</v>
      </c>
      <c r="L482" s="111"/>
      <c r="M482" s="73"/>
      <c r="N482" s="112"/>
      <c r="O482" s="111"/>
      <c r="P482" s="312">
        <v>0</v>
      </c>
      <c r="Q482" s="288">
        <f t="shared" si="22"/>
        <v>0</v>
      </c>
      <c r="R482" s="118">
        <v>0</v>
      </c>
      <c r="S482" s="283">
        <v>2016</v>
      </c>
      <c r="T482" s="288">
        <f t="shared" si="23"/>
        <v>2653</v>
      </c>
    </row>
    <row r="483" spans="2:20">
      <c r="B483" s="386" t="s">
        <v>588</v>
      </c>
      <c r="C483" s="114"/>
      <c r="D483" s="111" t="s">
        <v>1546</v>
      </c>
      <c r="E483" s="111" t="s">
        <v>1729</v>
      </c>
      <c r="F483" s="111"/>
      <c r="G483" s="110" t="s">
        <v>2073</v>
      </c>
      <c r="H483" s="141">
        <v>283.68113399999999</v>
      </c>
      <c r="I483" s="280"/>
      <c r="J483" s="72">
        <v>148.52000000000001</v>
      </c>
      <c r="K483" s="271">
        <f t="shared" si="21"/>
        <v>42132.322021680004</v>
      </c>
      <c r="L483" s="111"/>
      <c r="M483" s="73"/>
      <c r="N483" s="112"/>
      <c r="O483" s="111"/>
      <c r="P483" s="312">
        <v>0</v>
      </c>
      <c r="Q483" s="288">
        <f t="shared" si="22"/>
        <v>0</v>
      </c>
      <c r="R483" s="118">
        <v>0</v>
      </c>
      <c r="S483" s="283">
        <v>2016</v>
      </c>
      <c r="T483" s="288">
        <f t="shared" si="23"/>
        <v>45654</v>
      </c>
    </row>
    <row r="484" spans="2:20">
      <c r="B484" s="386" t="s">
        <v>589</v>
      </c>
      <c r="C484" s="114"/>
      <c r="D484" s="111" t="s">
        <v>1546</v>
      </c>
      <c r="E484" s="111" t="s">
        <v>1729</v>
      </c>
      <c r="F484" s="111"/>
      <c r="G484" s="110" t="s">
        <v>2073</v>
      </c>
      <c r="H484" s="141">
        <v>315.56081599999999</v>
      </c>
      <c r="I484" s="280"/>
      <c r="J484" s="72">
        <v>148.52000000000001</v>
      </c>
      <c r="K484" s="271">
        <f t="shared" si="21"/>
        <v>46867.092392320003</v>
      </c>
      <c r="L484" s="111"/>
      <c r="M484" s="73"/>
      <c r="N484" s="112"/>
      <c r="O484" s="111"/>
      <c r="P484" s="312">
        <v>0</v>
      </c>
      <c r="Q484" s="288">
        <f t="shared" si="22"/>
        <v>0</v>
      </c>
      <c r="R484" s="118">
        <v>0</v>
      </c>
      <c r="S484" s="283">
        <v>2016</v>
      </c>
      <c r="T484" s="288">
        <f t="shared" si="23"/>
        <v>50785</v>
      </c>
    </row>
    <row r="485" spans="2:20">
      <c r="B485" s="386" t="s">
        <v>590</v>
      </c>
      <c r="C485" s="114"/>
      <c r="D485" s="111" t="s">
        <v>1546</v>
      </c>
      <c r="E485" s="111" t="s">
        <v>1729</v>
      </c>
      <c r="F485" s="111"/>
      <c r="G485" s="110" t="s">
        <v>2073</v>
      </c>
      <c r="H485" s="141">
        <v>61.528477000000002</v>
      </c>
      <c r="I485" s="280"/>
      <c r="J485" s="72">
        <v>148.52000000000001</v>
      </c>
      <c r="K485" s="271">
        <f t="shared" si="21"/>
        <v>9138.2094040400007</v>
      </c>
      <c r="L485" s="111"/>
      <c r="M485" s="73"/>
      <c r="N485" s="112"/>
      <c r="O485" s="111"/>
      <c r="P485" s="312">
        <v>0</v>
      </c>
      <c r="Q485" s="288">
        <f t="shared" si="22"/>
        <v>0</v>
      </c>
      <c r="R485" s="118">
        <v>0</v>
      </c>
      <c r="S485" s="283">
        <v>2016</v>
      </c>
      <c r="T485" s="288">
        <f t="shared" si="23"/>
        <v>9902</v>
      </c>
    </row>
    <row r="486" spans="2:20">
      <c r="B486" s="386" t="s">
        <v>591</v>
      </c>
      <c r="C486" s="114"/>
      <c r="D486" s="111" t="s">
        <v>1547</v>
      </c>
      <c r="E486" s="111" t="s">
        <v>1730</v>
      </c>
      <c r="F486" s="111"/>
      <c r="G486" s="110" t="s">
        <v>2073</v>
      </c>
      <c r="H486" s="141">
        <v>972.74738100000002</v>
      </c>
      <c r="I486" s="280"/>
      <c r="J486" s="72">
        <v>148.52000000000001</v>
      </c>
      <c r="K486" s="271">
        <f t="shared" si="21"/>
        <v>144472.44102612001</v>
      </c>
      <c r="L486" s="111"/>
      <c r="M486" s="73"/>
      <c r="N486" s="112"/>
      <c r="O486" s="111"/>
      <c r="P486" s="312">
        <v>764.24006899999995</v>
      </c>
      <c r="Q486" s="288">
        <f t="shared" si="22"/>
        <v>15.059754214483617</v>
      </c>
      <c r="R486" s="118">
        <v>11509.267599999999</v>
      </c>
      <c r="S486" s="283">
        <v>2016</v>
      </c>
      <c r="T486" s="288">
        <f t="shared" si="23"/>
        <v>169040</v>
      </c>
    </row>
    <row r="487" spans="2:20">
      <c r="B487" s="386" t="s">
        <v>592</v>
      </c>
      <c r="C487" s="114"/>
      <c r="D487" s="111" t="s">
        <v>1547</v>
      </c>
      <c r="E487" s="111" t="s">
        <v>1730</v>
      </c>
      <c r="F487" s="111"/>
      <c r="G487" s="110" t="s">
        <v>2073</v>
      </c>
      <c r="H487" s="141">
        <v>150.15624800000001</v>
      </c>
      <c r="I487" s="280"/>
      <c r="J487" s="72">
        <v>148.52000000000001</v>
      </c>
      <c r="K487" s="271">
        <f t="shared" si="21"/>
        <v>22301.205952960001</v>
      </c>
      <c r="L487" s="111"/>
      <c r="M487" s="73"/>
      <c r="N487" s="112"/>
      <c r="O487" s="111"/>
      <c r="P487" s="312">
        <v>0</v>
      </c>
      <c r="Q487" s="288">
        <f t="shared" si="22"/>
        <v>0</v>
      </c>
      <c r="R487" s="118">
        <v>0</v>
      </c>
      <c r="S487" s="283">
        <v>2016</v>
      </c>
      <c r="T487" s="288">
        <f t="shared" si="23"/>
        <v>24165</v>
      </c>
    </row>
    <row r="488" spans="2:20">
      <c r="B488" s="386" t="s">
        <v>593</v>
      </c>
      <c r="C488" s="114"/>
      <c r="D488" s="111" t="s">
        <v>1546</v>
      </c>
      <c r="E488" s="111" t="s">
        <v>1731</v>
      </c>
      <c r="F488" s="111"/>
      <c r="G488" s="110" t="s">
        <v>2073</v>
      </c>
      <c r="H488" s="141">
        <v>81.988905000000003</v>
      </c>
      <c r="I488" s="280"/>
      <c r="J488" s="72">
        <v>148.52000000000001</v>
      </c>
      <c r="K488" s="271">
        <f t="shared" si="21"/>
        <v>12176.9921706</v>
      </c>
      <c r="L488" s="111"/>
      <c r="M488" s="73"/>
      <c r="N488" s="112"/>
      <c r="O488" s="111"/>
      <c r="P488" s="312">
        <v>0</v>
      </c>
      <c r="Q488" s="288">
        <f t="shared" si="22"/>
        <v>0</v>
      </c>
      <c r="R488" s="118">
        <v>0</v>
      </c>
      <c r="S488" s="283">
        <v>2016</v>
      </c>
      <c r="T488" s="288">
        <f t="shared" si="23"/>
        <v>13195</v>
      </c>
    </row>
    <row r="489" spans="2:20">
      <c r="B489" s="386" t="s">
        <v>594</v>
      </c>
      <c r="C489" s="114"/>
      <c r="D489" s="111" t="s">
        <v>1546</v>
      </c>
      <c r="E489" s="111" t="s">
        <v>1731</v>
      </c>
      <c r="F489" s="111"/>
      <c r="G489" s="110" t="s">
        <v>2073</v>
      </c>
      <c r="H489" s="141">
        <v>86.554609999999997</v>
      </c>
      <c r="I489" s="280"/>
      <c r="J489" s="72">
        <v>148.52000000000001</v>
      </c>
      <c r="K489" s="271">
        <f t="shared" si="21"/>
        <v>12855.0906772</v>
      </c>
      <c r="L489" s="111"/>
      <c r="M489" s="73"/>
      <c r="N489" s="112"/>
      <c r="O489" s="111"/>
      <c r="P489" s="312">
        <v>0</v>
      </c>
      <c r="Q489" s="288">
        <f t="shared" si="22"/>
        <v>0</v>
      </c>
      <c r="R489" s="118">
        <v>0</v>
      </c>
      <c r="S489" s="283">
        <v>2016</v>
      </c>
      <c r="T489" s="288">
        <f t="shared" si="23"/>
        <v>13930</v>
      </c>
    </row>
    <row r="490" spans="2:20">
      <c r="B490" s="386" t="s">
        <v>595</v>
      </c>
      <c r="C490" s="114"/>
      <c r="D490" s="111" t="s">
        <v>1546</v>
      </c>
      <c r="E490" s="111" t="s">
        <v>1731</v>
      </c>
      <c r="F490" s="111"/>
      <c r="G490" s="110" t="s">
        <v>2073</v>
      </c>
      <c r="H490" s="141">
        <v>117.799773</v>
      </c>
      <c r="I490" s="280"/>
      <c r="J490" s="72">
        <v>148.52000000000001</v>
      </c>
      <c r="K490" s="271">
        <f t="shared" si="21"/>
        <v>17495.622285960002</v>
      </c>
      <c r="L490" s="111"/>
      <c r="M490" s="73"/>
      <c r="N490" s="112"/>
      <c r="O490" s="111"/>
      <c r="P490" s="312">
        <v>0</v>
      </c>
      <c r="Q490" s="288">
        <f t="shared" si="22"/>
        <v>0</v>
      </c>
      <c r="R490" s="118">
        <v>0</v>
      </c>
      <c r="S490" s="283">
        <v>2016</v>
      </c>
      <c r="T490" s="288">
        <f t="shared" si="23"/>
        <v>18958</v>
      </c>
    </row>
    <row r="491" spans="2:20">
      <c r="B491" s="386" t="s">
        <v>596</v>
      </c>
      <c r="C491" s="114"/>
      <c r="D491" s="111" t="s">
        <v>1546</v>
      </c>
      <c r="E491" s="111" t="s">
        <v>1731</v>
      </c>
      <c r="F491" s="111"/>
      <c r="G491" s="110" t="s">
        <v>2073</v>
      </c>
      <c r="H491" s="141">
        <v>16.962762000000001</v>
      </c>
      <c r="I491" s="280"/>
      <c r="J491" s="72">
        <v>148.52000000000001</v>
      </c>
      <c r="K491" s="271">
        <f t="shared" si="21"/>
        <v>2519.3094122400003</v>
      </c>
      <c r="L491" s="111"/>
      <c r="M491" s="73"/>
      <c r="N491" s="112"/>
      <c r="O491" s="111"/>
      <c r="P491" s="312">
        <v>0</v>
      </c>
      <c r="Q491" s="288">
        <f t="shared" si="22"/>
        <v>0</v>
      </c>
      <c r="R491" s="118">
        <v>0</v>
      </c>
      <c r="S491" s="283">
        <v>2016</v>
      </c>
      <c r="T491" s="288">
        <f t="shared" si="23"/>
        <v>2730</v>
      </c>
    </row>
    <row r="492" spans="2:20">
      <c r="B492" s="386" t="s">
        <v>597</v>
      </c>
      <c r="C492" s="114"/>
      <c r="D492" s="111" t="s">
        <v>1546</v>
      </c>
      <c r="E492" s="111" t="s">
        <v>1731</v>
      </c>
      <c r="F492" s="111"/>
      <c r="G492" s="110" t="s">
        <v>2073</v>
      </c>
      <c r="H492" s="141">
        <v>6.5339010000000002</v>
      </c>
      <c r="I492" s="280"/>
      <c r="J492" s="72">
        <v>148.52000000000001</v>
      </c>
      <c r="K492" s="271">
        <f t="shared" si="21"/>
        <v>970.4149765200001</v>
      </c>
      <c r="L492" s="111"/>
      <c r="M492" s="73"/>
      <c r="N492" s="112"/>
      <c r="O492" s="111"/>
      <c r="P492" s="312">
        <v>0</v>
      </c>
      <c r="Q492" s="288">
        <f t="shared" si="22"/>
        <v>0</v>
      </c>
      <c r="R492" s="118">
        <v>0</v>
      </c>
      <c r="S492" s="283">
        <v>2016</v>
      </c>
      <c r="T492" s="288">
        <f t="shared" si="23"/>
        <v>1052</v>
      </c>
    </row>
    <row r="493" spans="2:20">
      <c r="B493" s="386" t="s">
        <v>598</v>
      </c>
      <c r="C493" s="114"/>
      <c r="D493" s="111" t="s">
        <v>1547</v>
      </c>
      <c r="E493" s="111" t="s">
        <v>1731</v>
      </c>
      <c r="F493" s="111"/>
      <c r="G493" s="110" t="s">
        <v>2073</v>
      </c>
      <c r="H493" s="141">
        <v>22.150639000000002</v>
      </c>
      <c r="I493" s="280"/>
      <c r="J493" s="72">
        <v>148.52000000000001</v>
      </c>
      <c r="K493" s="271">
        <f t="shared" si="21"/>
        <v>3289.8129042800006</v>
      </c>
      <c r="L493" s="111"/>
      <c r="M493" s="73"/>
      <c r="N493" s="112"/>
      <c r="O493" s="111"/>
      <c r="P493" s="312">
        <v>0</v>
      </c>
      <c r="Q493" s="288">
        <f t="shared" si="22"/>
        <v>0</v>
      </c>
      <c r="R493" s="118">
        <v>0</v>
      </c>
      <c r="S493" s="283">
        <v>2016</v>
      </c>
      <c r="T493" s="288">
        <f t="shared" si="23"/>
        <v>3565</v>
      </c>
    </row>
    <row r="494" spans="2:20">
      <c r="B494" s="386" t="s">
        <v>599</v>
      </c>
      <c r="C494" s="114"/>
      <c r="D494" s="111" t="s">
        <v>1547</v>
      </c>
      <c r="E494" s="111" t="s">
        <v>1731</v>
      </c>
      <c r="F494" s="111"/>
      <c r="G494" s="110" t="s">
        <v>2073</v>
      </c>
      <c r="H494" s="141">
        <v>621.41572399999995</v>
      </c>
      <c r="I494" s="280"/>
      <c r="J494" s="72">
        <v>148.52000000000001</v>
      </c>
      <c r="K494" s="271">
        <f t="shared" si="21"/>
        <v>92292.663328480005</v>
      </c>
      <c r="L494" s="111"/>
      <c r="M494" s="73"/>
      <c r="N494" s="112"/>
      <c r="O494" s="111"/>
      <c r="P494" s="312">
        <v>0</v>
      </c>
      <c r="Q494" s="288">
        <f t="shared" si="22"/>
        <v>0</v>
      </c>
      <c r="R494" s="118">
        <v>0</v>
      </c>
      <c r="S494" s="283">
        <v>2016</v>
      </c>
      <c r="T494" s="288">
        <f t="shared" si="23"/>
        <v>100007</v>
      </c>
    </row>
    <row r="495" spans="2:20">
      <c r="B495" s="386" t="s">
        <v>600</v>
      </c>
      <c r="C495" s="114"/>
      <c r="D495" s="111" t="s">
        <v>1547</v>
      </c>
      <c r="E495" s="111" t="s">
        <v>1731</v>
      </c>
      <c r="F495" s="111"/>
      <c r="G495" s="110" t="s">
        <v>2073</v>
      </c>
      <c r="H495" s="141">
        <v>37.109648999999997</v>
      </c>
      <c r="I495" s="280"/>
      <c r="J495" s="72">
        <v>148.52000000000001</v>
      </c>
      <c r="K495" s="271">
        <f t="shared" si="21"/>
        <v>5511.5250694799997</v>
      </c>
      <c r="L495" s="111"/>
      <c r="M495" s="73"/>
      <c r="N495" s="112"/>
      <c r="O495" s="111"/>
      <c r="P495" s="312">
        <v>0</v>
      </c>
      <c r="Q495" s="288">
        <f t="shared" si="22"/>
        <v>0</v>
      </c>
      <c r="R495" s="118">
        <v>0</v>
      </c>
      <c r="S495" s="283">
        <v>2016</v>
      </c>
      <c r="T495" s="288">
        <f t="shared" si="23"/>
        <v>5972</v>
      </c>
    </row>
    <row r="496" spans="2:20">
      <c r="B496" s="386" t="s">
        <v>601</v>
      </c>
      <c r="C496" s="114"/>
      <c r="D496" s="111" t="s">
        <v>1547</v>
      </c>
      <c r="E496" s="111" t="s">
        <v>1731</v>
      </c>
      <c r="F496" s="111"/>
      <c r="G496" s="110" t="s">
        <v>2073</v>
      </c>
      <c r="H496" s="141">
        <v>33.376468000000003</v>
      </c>
      <c r="I496" s="280"/>
      <c r="J496" s="72">
        <v>148.52000000000001</v>
      </c>
      <c r="K496" s="271">
        <f t="shared" si="21"/>
        <v>4957.0730273600011</v>
      </c>
      <c r="L496" s="111"/>
      <c r="M496" s="73"/>
      <c r="N496" s="112"/>
      <c r="O496" s="111"/>
      <c r="P496" s="312">
        <v>0</v>
      </c>
      <c r="Q496" s="288">
        <f t="shared" si="22"/>
        <v>0</v>
      </c>
      <c r="R496" s="118">
        <v>0</v>
      </c>
      <c r="S496" s="283">
        <v>2016</v>
      </c>
      <c r="T496" s="288">
        <f t="shared" si="23"/>
        <v>5371</v>
      </c>
    </row>
    <row r="497" spans="2:20">
      <c r="B497" s="386" t="s">
        <v>602</v>
      </c>
      <c r="C497" s="114"/>
      <c r="D497" s="111" t="s">
        <v>1547</v>
      </c>
      <c r="E497" s="111" t="s">
        <v>1731</v>
      </c>
      <c r="F497" s="111"/>
      <c r="G497" s="110" t="s">
        <v>2073</v>
      </c>
      <c r="H497" s="141">
        <v>101.143135</v>
      </c>
      <c r="I497" s="280"/>
      <c r="J497" s="72">
        <v>148.52000000000001</v>
      </c>
      <c r="K497" s="271">
        <f t="shared" si="21"/>
        <v>15021.778410200001</v>
      </c>
      <c r="L497" s="111"/>
      <c r="M497" s="73"/>
      <c r="N497" s="112"/>
      <c r="O497" s="111"/>
      <c r="P497" s="312">
        <v>0</v>
      </c>
      <c r="Q497" s="288">
        <f t="shared" si="22"/>
        <v>0</v>
      </c>
      <c r="R497" s="118">
        <v>0</v>
      </c>
      <c r="S497" s="283">
        <v>2016</v>
      </c>
      <c r="T497" s="288">
        <f t="shared" si="23"/>
        <v>16277</v>
      </c>
    </row>
    <row r="498" spans="2:20">
      <c r="B498" s="386" t="s">
        <v>603</v>
      </c>
      <c r="C498" s="114"/>
      <c r="D498" s="111" t="s">
        <v>1547</v>
      </c>
      <c r="E498" s="111" t="s">
        <v>1731</v>
      </c>
      <c r="F498" s="111"/>
      <c r="G498" s="110" t="s">
        <v>2073</v>
      </c>
      <c r="H498" s="141">
        <v>217.56890799999999</v>
      </c>
      <c r="I498" s="280"/>
      <c r="J498" s="72">
        <v>148.52000000000001</v>
      </c>
      <c r="K498" s="271">
        <f t="shared" si="21"/>
        <v>32313.334216160001</v>
      </c>
      <c r="L498" s="111"/>
      <c r="M498" s="73"/>
      <c r="N498" s="112"/>
      <c r="O498" s="111"/>
      <c r="P498" s="312">
        <v>0</v>
      </c>
      <c r="Q498" s="288">
        <f t="shared" si="22"/>
        <v>0</v>
      </c>
      <c r="R498" s="118">
        <v>0</v>
      </c>
      <c r="S498" s="283">
        <v>2016</v>
      </c>
      <c r="T498" s="288">
        <f t="shared" si="23"/>
        <v>35014</v>
      </c>
    </row>
    <row r="499" spans="2:20">
      <c r="B499" s="386" t="s">
        <v>604</v>
      </c>
      <c r="C499" s="114"/>
      <c r="D499" s="111" t="s">
        <v>1547</v>
      </c>
      <c r="E499" s="111" t="s">
        <v>1731</v>
      </c>
      <c r="F499" s="111"/>
      <c r="G499" s="110" t="s">
        <v>2073</v>
      </c>
      <c r="H499" s="141">
        <v>65.654257000000001</v>
      </c>
      <c r="I499" s="280"/>
      <c r="J499" s="72">
        <v>148.52000000000001</v>
      </c>
      <c r="K499" s="271">
        <f t="shared" si="21"/>
        <v>9750.9702496400005</v>
      </c>
      <c r="L499" s="111"/>
      <c r="M499" s="73"/>
      <c r="N499" s="112"/>
      <c r="O499" s="111"/>
      <c r="P499" s="312">
        <v>0</v>
      </c>
      <c r="Q499" s="288">
        <f t="shared" si="22"/>
        <v>0</v>
      </c>
      <c r="R499" s="118">
        <v>0</v>
      </c>
      <c r="S499" s="283">
        <v>2016</v>
      </c>
      <c r="T499" s="288">
        <f t="shared" si="23"/>
        <v>10566</v>
      </c>
    </row>
    <row r="500" spans="2:20">
      <c r="B500" s="386" t="s">
        <v>605</v>
      </c>
      <c r="C500" s="114"/>
      <c r="D500" s="111" t="s">
        <v>1547</v>
      </c>
      <c r="E500" s="111" t="s">
        <v>1731</v>
      </c>
      <c r="F500" s="111"/>
      <c r="G500" s="110" t="s">
        <v>2073</v>
      </c>
      <c r="H500" s="141">
        <v>14.557364</v>
      </c>
      <c r="I500" s="280"/>
      <c r="J500" s="72">
        <v>148.52000000000001</v>
      </c>
      <c r="K500" s="271">
        <f t="shared" si="21"/>
        <v>2162.0597012799999</v>
      </c>
      <c r="L500" s="111"/>
      <c r="M500" s="73"/>
      <c r="N500" s="112"/>
      <c r="O500" s="111"/>
      <c r="P500" s="312">
        <v>0</v>
      </c>
      <c r="Q500" s="288">
        <f t="shared" si="22"/>
        <v>0</v>
      </c>
      <c r="R500" s="118">
        <v>0</v>
      </c>
      <c r="S500" s="283">
        <v>2016</v>
      </c>
      <c r="T500" s="288">
        <f t="shared" si="23"/>
        <v>2343</v>
      </c>
    </row>
    <row r="501" spans="2:20">
      <c r="B501" s="386" t="s">
        <v>606</v>
      </c>
      <c r="C501" s="114"/>
      <c r="D501" s="111" t="s">
        <v>1547</v>
      </c>
      <c r="E501" s="111" t="s">
        <v>1731</v>
      </c>
      <c r="F501" s="111"/>
      <c r="G501" s="110" t="s">
        <v>2073</v>
      </c>
      <c r="H501" s="141">
        <v>13.999915</v>
      </c>
      <c r="I501" s="280"/>
      <c r="J501" s="72">
        <v>148.52000000000001</v>
      </c>
      <c r="K501" s="271">
        <f t="shared" si="21"/>
        <v>2079.2673758000001</v>
      </c>
      <c r="L501" s="111"/>
      <c r="M501" s="73"/>
      <c r="N501" s="112"/>
      <c r="O501" s="111"/>
      <c r="P501" s="312">
        <v>0</v>
      </c>
      <c r="Q501" s="288">
        <f t="shared" si="22"/>
        <v>0</v>
      </c>
      <c r="R501" s="118">
        <v>0</v>
      </c>
      <c r="S501" s="283">
        <v>2016</v>
      </c>
      <c r="T501" s="288">
        <f t="shared" si="23"/>
        <v>2253</v>
      </c>
    </row>
    <row r="502" spans="2:20">
      <c r="B502" s="386" t="s">
        <v>607</v>
      </c>
      <c r="C502" s="114"/>
      <c r="D502" s="111" t="s">
        <v>1547</v>
      </c>
      <c r="E502" s="111" t="s">
        <v>1731</v>
      </c>
      <c r="F502" s="111"/>
      <c r="G502" s="110" t="s">
        <v>2073</v>
      </c>
      <c r="H502" s="141">
        <v>46.712553</v>
      </c>
      <c r="I502" s="280"/>
      <c r="J502" s="72">
        <v>148.52000000000001</v>
      </c>
      <c r="K502" s="271">
        <f t="shared" si="21"/>
        <v>6937.7483715600001</v>
      </c>
      <c r="L502" s="111"/>
      <c r="M502" s="73"/>
      <c r="N502" s="112"/>
      <c r="O502" s="111"/>
      <c r="P502" s="312">
        <v>0</v>
      </c>
      <c r="Q502" s="288">
        <f t="shared" si="22"/>
        <v>0</v>
      </c>
      <c r="R502" s="118">
        <v>0</v>
      </c>
      <c r="S502" s="283">
        <v>2016</v>
      </c>
      <c r="T502" s="288">
        <f t="shared" si="23"/>
        <v>7518</v>
      </c>
    </row>
    <row r="503" spans="2:20">
      <c r="B503" s="386" t="s">
        <v>608</v>
      </c>
      <c r="C503" s="114"/>
      <c r="D503" s="111" t="s">
        <v>1547</v>
      </c>
      <c r="E503" s="111" t="s">
        <v>1731</v>
      </c>
      <c r="F503" s="111"/>
      <c r="G503" s="110" t="s">
        <v>2073</v>
      </c>
      <c r="H503" s="141">
        <v>66.819681000000003</v>
      </c>
      <c r="I503" s="280"/>
      <c r="J503" s="72">
        <v>148.52000000000001</v>
      </c>
      <c r="K503" s="271">
        <f t="shared" si="21"/>
        <v>9924.0590221200018</v>
      </c>
      <c r="L503" s="111"/>
      <c r="M503" s="73"/>
      <c r="N503" s="112"/>
      <c r="O503" s="111"/>
      <c r="P503" s="312">
        <v>0</v>
      </c>
      <c r="Q503" s="288">
        <f t="shared" si="22"/>
        <v>0</v>
      </c>
      <c r="R503" s="118">
        <v>0</v>
      </c>
      <c r="S503" s="283">
        <v>2016</v>
      </c>
      <c r="T503" s="288">
        <f t="shared" si="23"/>
        <v>10754</v>
      </c>
    </row>
    <row r="504" spans="2:20">
      <c r="B504" s="386" t="s">
        <v>609</v>
      </c>
      <c r="C504" s="114"/>
      <c r="D504" s="111" t="s">
        <v>1547</v>
      </c>
      <c r="E504" s="111" t="s">
        <v>1731</v>
      </c>
      <c r="F504" s="111"/>
      <c r="G504" s="110" t="s">
        <v>2073</v>
      </c>
      <c r="H504" s="141">
        <v>107.729399</v>
      </c>
      <c r="I504" s="280"/>
      <c r="J504" s="72">
        <v>148.52000000000001</v>
      </c>
      <c r="K504" s="271">
        <f t="shared" si="21"/>
        <v>15999.970339480002</v>
      </c>
      <c r="L504" s="111"/>
      <c r="M504" s="73"/>
      <c r="N504" s="112"/>
      <c r="O504" s="111"/>
      <c r="P504" s="312">
        <v>0</v>
      </c>
      <c r="Q504" s="288">
        <f t="shared" si="22"/>
        <v>0</v>
      </c>
      <c r="R504" s="118">
        <v>0</v>
      </c>
      <c r="S504" s="283">
        <v>2016</v>
      </c>
      <c r="T504" s="288">
        <f t="shared" si="23"/>
        <v>17337</v>
      </c>
    </row>
    <row r="505" spans="2:20">
      <c r="B505" s="386" t="s">
        <v>610</v>
      </c>
      <c r="C505" s="114"/>
      <c r="D505" s="111" t="s">
        <v>1547</v>
      </c>
      <c r="E505" s="111" t="s">
        <v>1712</v>
      </c>
      <c r="F505" s="111"/>
      <c r="G505" s="110" t="s">
        <v>2073</v>
      </c>
      <c r="H505" s="141">
        <v>452.47436199999999</v>
      </c>
      <c r="I505" s="280"/>
      <c r="J505" s="72">
        <v>148.52000000000001</v>
      </c>
      <c r="K505" s="271">
        <f t="shared" si="21"/>
        <v>67201.492244239998</v>
      </c>
      <c r="L505" s="111"/>
      <c r="M505" s="73"/>
      <c r="N505" s="112"/>
      <c r="O505" s="111"/>
      <c r="P505" s="312">
        <v>0</v>
      </c>
      <c r="Q505" s="288">
        <f t="shared" si="22"/>
        <v>0</v>
      </c>
      <c r="R505" s="118">
        <v>0</v>
      </c>
      <c r="S505" s="283">
        <v>2016</v>
      </c>
      <c r="T505" s="288">
        <f t="shared" si="23"/>
        <v>72819</v>
      </c>
    </row>
    <row r="506" spans="2:20">
      <c r="B506" s="386" t="s">
        <v>611</v>
      </c>
      <c r="C506" s="114"/>
      <c r="D506" s="111" t="s">
        <v>1547</v>
      </c>
      <c r="E506" s="111" t="s">
        <v>1712</v>
      </c>
      <c r="F506" s="111"/>
      <c r="G506" s="110" t="s">
        <v>2073</v>
      </c>
      <c r="H506" s="141">
        <v>72.334486999999996</v>
      </c>
      <c r="I506" s="280"/>
      <c r="J506" s="72">
        <v>148.52000000000001</v>
      </c>
      <c r="K506" s="271">
        <f t="shared" si="21"/>
        <v>10743.118009240001</v>
      </c>
      <c r="L506" s="111"/>
      <c r="M506" s="73"/>
      <c r="N506" s="112"/>
      <c r="O506" s="111"/>
      <c r="P506" s="312">
        <v>0</v>
      </c>
      <c r="Q506" s="288">
        <f t="shared" si="22"/>
        <v>0</v>
      </c>
      <c r="R506" s="118">
        <v>0</v>
      </c>
      <c r="S506" s="283">
        <v>2016</v>
      </c>
      <c r="T506" s="288">
        <f t="shared" si="23"/>
        <v>11641</v>
      </c>
    </row>
    <row r="507" spans="2:20">
      <c r="B507" s="386" t="s">
        <v>612</v>
      </c>
      <c r="C507" s="114"/>
      <c r="D507" s="111" t="s">
        <v>1547</v>
      </c>
      <c r="E507" s="111" t="s">
        <v>1712</v>
      </c>
      <c r="F507" s="111"/>
      <c r="G507" s="110" t="s">
        <v>2073</v>
      </c>
      <c r="H507" s="141">
        <v>1137.5636959999999</v>
      </c>
      <c r="I507" s="280"/>
      <c r="J507" s="72">
        <v>148.52000000000001</v>
      </c>
      <c r="K507" s="271">
        <f t="shared" si="21"/>
        <v>168950.96012992001</v>
      </c>
      <c r="L507" s="111"/>
      <c r="M507" s="73"/>
      <c r="N507" s="112"/>
      <c r="O507" s="111"/>
      <c r="P507" s="312">
        <v>0</v>
      </c>
      <c r="Q507" s="288">
        <f t="shared" si="22"/>
        <v>0</v>
      </c>
      <c r="R507" s="118">
        <v>0</v>
      </c>
      <c r="S507" s="283">
        <v>2016</v>
      </c>
      <c r="T507" s="288">
        <f t="shared" si="23"/>
        <v>183074</v>
      </c>
    </row>
    <row r="508" spans="2:20">
      <c r="B508" s="386" t="s">
        <v>613</v>
      </c>
      <c r="C508" s="114"/>
      <c r="D508" s="111" t="s">
        <v>1547</v>
      </c>
      <c r="E508" s="111" t="s">
        <v>1712</v>
      </c>
      <c r="F508" s="111"/>
      <c r="G508" s="110" t="s">
        <v>2073</v>
      </c>
      <c r="H508" s="141">
        <v>113.324302</v>
      </c>
      <c r="I508" s="280"/>
      <c r="J508" s="72">
        <v>148.52000000000001</v>
      </c>
      <c r="K508" s="271">
        <f t="shared" si="21"/>
        <v>16830.925333040002</v>
      </c>
      <c r="L508" s="111"/>
      <c r="M508" s="73"/>
      <c r="N508" s="112"/>
      <c r="O508" s="111"/>
      <c r="P508" s="312">
        <v>0</v>
      </c>
      <c r="Q508" s="288">
        <f t="shared" si="22"/>
        <v>0</v>
      </c>
      <c r="R508" s="118">
        <v>0</v>
      </c>
      <c r="S508" s="283">
        <v>2016</v>
      </c>
      <c r="T508" s="288">
        <f t="shared" si="23"/>
        <v>18238</v>
      </c>
    </row>
    <row r="509" spans="2:20">
      <c r="B509" s="386" t="s">
        <v>614</v>
      </c>
      <c r="C509" s="114"/>
      <c r="D509" s="111" t="s">
        <v>1547</v>
      </c>
      <c r="E509" s="111" t="s">
        <v>1712</v>
      </c>
      <c r="F509" s="111"/>
      <c r="G509" s="110" t="s">
        <v>2073</v>
      </c>
      <c r="H509" s="141">
        <v>81.376035999999999</v>
      </c>
      <c r="I509" s="280"/>
      <c r="J509" s="72">
        <v>148.52000000000001</v>
      </c>
      <c r="K509" s="271">
        <f t="shared" si="21"/>
        <v>12085.968866720001</v>
      </c>
      <c r="L509" s="111"/>
      <c r="M509" s="73"/>
      <c r="N509" s="112"/>
      <c r="O509" s="111"/>
      <c r="P509" s="312">
        <v>0</v>
      </c>
      <c r="Q509" s="288">
        <f t="shared" si="22"/>
        <v>0</v>
      </c>
      <c r="R509" s="118">
        <v>0</v>
      </c>
      <c r="S509" s="283">
        <v>2016</v>
      </c>
      <c r="T509" s="288">
        <f t="shared" si="23"/>
        <v>13096</v>
      </c>
    </row>
    <row r="510" spans="2:20">
      <c r="B510" s="386" t="s">
        <v>615</v>
      </c>
      <c r="C510" s="114"/>
      <c r="D510" s="111" t="s">
        <v>1547</v>
      </c>
      <c r="E510" s="111" t="s">
        <v>1712</v>
      </c>
      <c r="F510" s="111"/>
      <c r="G510" s="110" t="s">
        <v>2073</v>
      </c>
      <c r="H510" s="141">
        <v>122.024432</v>
      </c>
      <c r="I510" s="280"/>
      <c r="J510" s="72">
        <v>148.52000000000001</v>
      </c>
      <c r="K510" s="271">
        <f t="shared" si="21"/>
        <v>18123.068640640002</v>
      </c>
      <c r="L510" s="111"/>
      <c r="M510" s="73"/>
      <c r="N510" s="112"/>
      <c r="O510" s="111"/>
      <c r="P510" s="312">
        <v>0</v>
      </c>
      <c r="Q510" s="288">
        <f t="shared" si="22"/>
        <v>0</v>
      </c>
      <c r="R510" s="118">
        <v>0</v>
      </c>
      <c r="S510" s="283">
        <v>2016</v>
      </c>
      <c r="T510" s="288">
        <f t="shared" si="23"/>
        <v>19638</v>
      </c>
    </row>
    <row r="511" spans="2:20">
      <c r="B511" s="386" t="s">
        <v>616</v>
      </c>
      <c r="C511" s="114"/>
      <c r="D511" s="111" t="s">
        <v>1547</v>
      </c>
      <c r="E511" s="111" t="s">
        <v>1712</v>
      </c>
      <c r="F511" s="111"/>
      <c r="G511" s="110" t="s">
        <v>2073</v>
      </c>
      <c r="H511" s="141">
        <v>78.528439000000006</v>
      </c>
      <c r="I511" s="280"/>
      <c r="J511" s="72">
        <v>148.52000000000001</v>
      </c>
      <c r="K511" s="271">
        <f t="shared" si="21"/>
        <v>11663.043760280001</v>
      </c>
      <c r="L511" s="111"/>
      <c r="M511" s="73"/>
      <c r="N511" s="112"/>
      <c r="O511" s="111"/>
      <c r="P511" s="312">
        <v>0</v>
      </c>
      <c r="Q511" s="288">
        <f t="shared" si="22"/>
        <v>0</v>
      </c>
      <c r="R511" s="118">
        <v>0</v>
      </c>
      <c r="S511" s="283">
        <v>2016</v>
      </c>
      <c r="T511" s="288">
        <f t="shared" si="23"/>
        <v>12638</v>
      </c>
    </row>
    <row r="512" spans="2:20">
      <c r="B512" s="386" t="s">
        <v>617</v>
      </c>
      <c r="C512" s="114"/>
      <c r="D512" s="111" t="s">
        <v>1546</v>
      </c>
      <c r="E512" s="111" t="s">
        <v>1587</v>
      </c>
      <c r="F512" s="111"/>
      <c r="G512" s="110" t="s">
        <v>2073</v>
      </c>
      <c r="H512" s="141">
        <v>130.57038900000001</v>
      </c>
      <c r="I512" s="280"/>
      <c r="J512" s="72">
        <v>148.52000000000001</v>
      </c>
      <c r="K512" s="271">
        <f t="shared" ref="K512:K571" si="24">J512*H512</f>
        <v>19392.314174280003</v>
      </c>
      <c r="L512" s="111"/>
      <c r="M512" s="73"/>
      <c r="N512" s="112"/>
      <c r="O512" s="111"/>
      <c r="P512" s="312">
        <v>0</v>
      </c>
      <c r="Q512" s="288">
        <f t="shared" ref="Q512:Q571" si="25">IFERROR(R512/P512,0)</f>
        <v>0</v>
      </c>
      <c r="R512" s="118">
        <v>0</v>
      </c>
      <c r="S512" s="283">
        <v>2016</v>
      </c>
      <c r="T512" s="288">
        <f t="shared" si="23"/>
        <v>21013</v>
      </c>
    </row>
    <row r="513" spans="2:20">
      <c r="B513" s="386" t="s">
        <v>618</v>
      </c>
      <c r="C513" s="114"/>
      <c r="D513" s="111" t="s">
        <v>1546</v>
      </c>
      <c r="E513" s="111" t="s">
        <v>1587</v>
      </c>
      <c r="F513" s="111"/>
      <c r="G513" s="110" t="s">
        <v>2073</v>
      </c>
      <c r="H513" s="141">
        <v>206.909671</v>
      </c>
      <c r="I513" s="280"/>
      <c r="J513" s="72">
        <v>148.52000000000001</v>
      </c>
      <c r="K513" s="271">
        <f t="shared" si="24"/>
        <v>30730.224336920004</v>
      </c>
      <c r="L513" s="111"/>
      <c r="M513" s="73"/>
      <c r="N513" s="112"/>
      <c r="O513" s="111"/>
      <c r="P513" s="312">
        <v>0</v>
      </c>
      <c r="Q513" s="288">
        <f t="shared" si="25"/>
        <v>0</v>
      </c>
      <c r="R513" s="118">
        <v>0</v>
      </c>
      <c r="S513" s="283">
        <v>2016</v>
      </c>
      <c r="T513" s="288">
        <f t="shared" si="23"/>
        <v>33299</v>
      </c>
    </row>
    <row r="514" spans="2:20">
      <c r="B514" s="386" t="s">
        <v>619</v>
      </c>
      <c r="C514" s="114"/>
      <c r="D514" s="111" t="s">
        <v>1546</v>
      </c>
      <c r="E514" s="111" t="s">
        <v>1587</v>
      </c>
      <c r="F514" s="111"/>
      <c r="G514" s="110" t="s">
        <v>2073</v>
      </c>
      <c r="H514" s="141">
        <v>337.13932999999997</v>
      </c>
      <c r="I514" s="280"/>
      <c r="J514" s="72">
        <v>148.52000000000001</v>
      </c>
      <c r="K514" s="271">
        <f t="shared" si="24"/>
        <v>50071.933291599998</v>
      </c>
      <c r="L514" s="111"/>
      <c r="M514" s="73"/>
      <c r="N514" s="112"/>
      <c r="O514" s="111"/>
      <c r="P514" s="312">
        <v>0</v>
      </c>
      <c r="Q514" s="288">
        <f t="shared" si="25"/>
        <v>0</v>
      </c>
      <c r="R514" s="118">
        <v>0</v>
      </c>
      <c r="S514" s="283">
        <v>2016</v>
      </c>
      <c r="T514" s="288">
        <f t="shared" si="23"/>
        <v>54257</v>
      </c>
    </row>
    <row r="515" spans="2:20">
      <c r="B515" s="386" t="s">
        <v>620</v>
      </c>
      <c r="C515" s="114"/>
      <c r="D515" s="111" t="s">
        <v>1546</v>
      </c>
      <c r="E515" s="111" t="s">
        <v>1732</v>
      </c>
      <c r="F515" s="111"/>
      <c r="G515" s="110" t="s">
        <v>2073</v>
      </c>
      <c r="H515" s="141">
        <v>14.126810000000001</v>
      </c>
      <c r="I515" s="280"/>
      <c r="J515" s="72">
        <v>148.52000000000001</v>
      </c>
      <c r="K515" s="271">
        <f t="shared" si="24"/>
        <v>2098.1138212000001</v>
      </c>
      <c r="L515" s="111"/>
      <c r="M515" s="73"/>
      <c r="N515" s="112"/>
      <c r="O515" s="111"/>
      <c r="P515" s="312">
        <v>0</v>
      </c>
      <c r="Q515" s="288">
        <f t="shared" si="25"/>
        <v>0</v>
      </c>
      <c r="R515" s="118">
        <v>0</v>
      </c>
      <c r="S515" s="283">
        <v>2016</v>
      </c>
      <c r="T515" s="288">
        <f t="shared" si="23"/>
        <v>2273</v>
      </c>
    </row>
    <row r="516" spans="2:20">
      <c r="B516" s="386" t="s">
        <v>621</v>
      </c>
      <c r="C516" s="114"/>
      <c r="D516" s="111" t="s">
        <v>1546</v>
      </c>
      <c r="E516" s="111" t="s">
        <v>1732</v>
      </c>
      <c r="F516" s="111"/>
      <c r="G516" s="110" t="s">
        <v>2073</v>
      </c>
      <c r="H516" s="141">
        <v>27.680363</v>
      </c>
      <c r="I516" s="280"/>
      <c r="J516" s="72">
        <v>148.52000000000001</v>
      </c>
      <c r="K516" s="271">
        <f t="shared" si="24"/>
        <v>4111.0875127600002</v>
      </c>
      <c r="L516" s="111"/>
      <c r="M516" s="73"/>
      <c r="N516" s="112"/>
      <c r="O516" s="111"/>
      <c r="P516" s="312">
        <v>0</v>
      </c>
      <c r="Q516" s="288">
        <f t="shared" si="25"/>
        <v>0</v>
      </c>
      <c r="R516" s="118">
        <v>0</v>
      </c>
      <c r="S516" s="283">
        <v>2016</v>
      </c>
      <c r="T516" s="288">
        <f t="shared" si="23"/>
        <v>4455</v>
      </c>
    </row>
    <row r="517" spans="2:20">
      <c r="B517" s="386" t="s">
        <v>622</v>
      </c>
      <c r="C517" s="114"/>
      <c r="D517" s="111" t="s">
        <v>1547</v>
      </c>
      <c r="E517" s="111" t="s">
        <v>1733</v>
      </c>
      <c r="F517" s="111"/>
      <c r="G517" s="110" t="s">
        <v>2073</v>
      </c>
      <c r="H517" s="141">
        <v>96.489153000000002</v>
      </c>
      <c r="I517" s="280"/>
      <c r="J517" s="72">
        <v>148.52000000000001</v>
      </c>
      <c r="K517" s="271">
        <f t="shared" si="24"/>
        <v>14330.569003560002</v>
      </c>
      <c r="L517" s="111"/>
      <c r="M517" s="73"/>
      <c r="N517" s="112"/>
      <c r="O517" s="111"/>
      <c r="P517" s="312">
        <v>37.749553499999998</v>
      </c>
      <c r="Q517" s="288">
        <f t="shared" si="25"/>
        <v>3.0000000132451898</v>
      </c>
      <c r="R517" s="118">
        <v>113.248661</v>
      </c>
      <c r="S517" s="283">
        <v>2016</v>
      </c>
      <c r="T517" s="288">
        <f t="shared" si="23"/>
        <v>15651</v>
      </c>
    </row>
    <row r="518" spans="2:20">
      <c r="B518" s="386" t="s">
        <v>623</v>
      </c>
      <c r="C518" s="114"/>
      <c r="D518" s="111" t="s">
        <v>1546</v>
      </c>
      <c r="E518" s="111" t="s">
        <v>1714</v>
      </c>
      <c r="F518" s="111"/>
      <c r="G518" s="110" t="s">
        <v>2073</v>
      </c>
      <c r="H518" s="141">
        <v>92.044233000000006</v>
      </c>
      <c r="I518" s="280"/>
      <c r="J518" s="72">
        <v>148.52000000000001</v>
      </c>
      <c r="K518" s="271">
        <f t="shared" si="24"/>
        <v>13670.409485160002</v>
      </c>
      <c r="L518" s="111"/>
      <c r="M518" s="73"/>
      <c r="N518" s="112"/>
      <c r="O518" s="111"/>
      <c r="P518" s="312">
        <v>0</v>
      </c>
      <c r="Q518" s="288">
        <f t="shared" si="25"/>
        <v>0</v>
      </c>
      <c r="R518" s="118">
        <v>0</v>
      </c>
      <c r="S518" s="283">
        <v>2016</v>
      </c>
      <c r="T518" s="288">
        <f t="shared" si="23"/>
        <v>14813</v>
      </c>
    </row>
    <row r="519" spans="2:20">
      <c r="B519" s="386" t="s">
        <v>624</v>
      </c>
      <c r="C519" s="114"/>
      <c r="D519" s="111" t="s">
        <v>1546</v>
      </c>
      <c r="E519" s="111" t="s">
        <v>1714</v>
      </c>
      <c r="F519" s="111"/>
      <c r="G519" s="110" t="s">
        <v>2073</v>
      </c>
      <c r="H519" s="141">
        <v>151.65397300000001</v>
      </c>
      <c r="I519" s="280"/>
      <c r="J519" s="72">
        <v>148.52000000000001</v>
      </c>
      <c r="K519" s="271">
        <f t="shared" si="24"/>
        <v>22523.648069960003</v>
      </c>
      <c r="L519" s="111"/>
      <c r="M519" s="73"/>
      <c r="N519" s="112"/>
      <c r="O519" s="111"/>
      <c r="P519" s="312">
        <v>0</v>
      </c>
      <c r="Q519" s="288">
        <f t="shared" si="25"/>
        <v>0</v>
      </c>
      <c r="R519" s="118">
        <v>0</v>
      </c>
      <c r="S519" s="283">
        <v>2016</v>
      </c>
      <c r="T519" s="288">
        <f t="shared" si="23"/>
        <v>24406</v>
      </c>
    </row>
    <row r="520" spans="2:20">
      <c r="B520" s="386" t="s">
        <v>625</v>
      </c>
      <c r="C520" s="114"/>
      <c r="D520" s="111" t="s">
        <v>1547</v>
      </c>
      <c r="E520" s="111" t="s">
        <v>1643</v>
      </c>
      <c r="F520" s="111"/>
      <c r="G520" s="110" t="s">
        <v>2073</v>
      </c>
      <c r="H520" s="141">
        <v>81.1053</v>
      </c>
      <c r="I520" s="280"/>
      <c r="J520" s="72">
        <v>148.52000000000001</v>
      </c>
      <c r="K520" s="271">
        <f t="shared" si="24"/>
        <v>12045.759156</v>
      </c>
      <c r="L520" s="111"/>
      <c r="M520" s="73"/>
      <c r="N520" s="112"/>
      <c r="O520" s="111"/>
      <c r="P520" s="312">
        <v>0</v>
      </c>
      <c r="Q520" s="288">
        <f t="shared" si="25"/>
        <v>0</v>
      </c>
      <c r="R520" s="118">
        <v>0</v>
      </c>
      <c r="S520" s="283">
        <v>2016</v>
      </c>
      <c r="T520" s="288">
        <f t="shared" si="23"/>
        <v>13053</v>
      </c>
    </row>
    <row r="521" spans="2:20">
      <c r="B521" s="386" t="s">
        <v>626</v>
      </c>
      <c r="C521" s="114"/>
      <c r="D521" s="111" t="s">
        <v>1546</v>
      </c>
      <c r="E521" s="111" t="s">
        <v>1734</v>
      </c>
      <c r="F521" s="111"/>
      <c r="G521" s="110" t="s">
        <v>2073</v>
      </c>
      <c r="H521" s="141">
        <v>684.71782299999995</v>
      </c>
      <c r="I521" s="280"/>
      <c r="J521" s="72">
        <v>148.52000000000001</v>
      </c>
      <c r="K521" s="271">
        <f t="shared" si="24"/>
        <v>101694.29107196</v>
      </c>
      <c r="L521" s="111"/>
      <c r="M521" s="73"/>
      <c r="N521" s="112"/>
      <c r="O521" s="111"/>
      <c r="P521" s="312">
        <v>0</v>
      </c>
      <c r="Q521" s="288">
        <f t="shared" si="25"/>
        <v>0</v>
      </c>
      <c r="R521" s="118">
        <v>0</v>
      </c>
      <c r="S521" s="283">
        <v>2016</v>
      </c>
      <c r="T521" s="288">
        <f t="shared" si="23"/>
        <v>110195</v>
      </c>
    </row>
    <row r="522" spans="2:20">
      <c r="B522" s="386" t="s">
        <v>627</v>
      </c>
      <c r="C522" s="114"/>
      <c r="D522" s="111" t="s">
        <v>1546</v>
      </c>
      <c r="E522" s="111" t="s">
        <v>1734</v>
      </c>
      <c r="F522" s="111"/>
      <c r="G522" s="110" t="s">
        <v>2073</v>
      </c>
      <c r="H522" s="141">
        <v>564.52538500000003</v>
      </c>
      <c r="I522" s="280"/>
      <c r="J522" s="72">
        <v>148.52000000000001</v>
      </c>
      <c r="K522" s="271">
        <f t="shared" si="24"/>
        <v>83843.310180200016</v>
      </c>
      <c r="L522" s="111"/>
      <c r="M522" s="73"/>
      <c r="N522" s="112"/>
      <c r="O522" s="111"/>
      <c r="P522" s="312">
        <v>0</v>
      </c>
      <c r="Q522" s="288">
        <f t="shared" si="25"/>
        <v>0</v>
      </c>
      <c r="R522" s="118">
        <v>0</v>
      </c>
      <c r="S522" s="283">
        <v>2016</v>
      </c>
      <c r="T522" s="288">
        <f t="shared" si="23"/>
        <v>90852</v>
      </c>
    </row>
    <row r="523" spans="2:20">
      <c r="B523" s="386" t="s">
        <v>628</v>
      </c>
      <c r="C523" s="114"/>
      <c r="D523" s="111" t="s">
        <v>1546</v>
      </c>
      <c r="E523" s="111" t="s">
        <v>1734</v>
      </c>
      <c r="F523" s="111"/>
      <c r="G523" s="110" t="s">
        <v>2073</v>
      </c>
      <c r="H523" s="141">
        <v>430.68993999999998</v>
      </c>
      <c r="I523" s="280"/>
      <c r="J523" s="72">
        <v>148.52000000000001</v>
      </c>
      <c r="K523" s="271">
        <f t="shared" si="24"/>
        <v>63966.069888800004</v>
      </c>
      <c r="L523" s="111"/>
      <c r="M523" s="73"/>
      <c r="N523" s="112"/>
      <c r="O523" s="111"/>
      <c r="P523" s="312">
        <v>0</v>
      </c>
      <c r="Q523" s="288">
        <f t="shared" si="25"/>
        <v>0</v>
      </c>
      <c r="R523" s="118">
        <v>0</v>
      </c>
      <c r="S523" s="283">
        <v>2016</v>
      </c>
      <c r="T523" s="288">
        <f t="shared" si="23"/>
        <v>69313</v>
      </c>
    </row>
    <row r="524" spans="2:20">
      <c r="B524" s="386" t="s">
        <v>629</v>
      </c>
      <c r="C524" s="114"/>
      <c r="D524" s="111" t="s">
        <v>1547</v>
      </c>
      <c r="E524" s="111" t="s">
        <v>1734</v>
      </c>
      <c r="F524" s="111"/>
      <c r="G524" s="110" t="s">
        <v>2073</v>
      </c>
      <c r="H524" s="141">
        <v>53.468190999999997</v>
      </c>
      <c r="I524" s="280"/>
      <c r="J524" s="72">
        <v>148.52000000000001</v>
      </c>
      <c r="K524" s="271">
        <f t="shared" si="24"/>
        <v>7941.0957273200002</v>
      </c>
      <c r="L524" s="111"/>
      <c r="M524" s="73"/>
      <c r="N524" s="112"/>
      <c r="O524" s="111"/>
      <c r="P524" s="312">
        <v>0</v>
      </c>
      <c r="Q524" s="288">
        <f t="shared" si="25"/>
        <v>0</v>
      </c>
      <c r="R524" s="118">
        <v>0</v>
      </c>
      <c r="S524" s="283">
        <v>2016</v>
      </c>
      <c r="T524" s="288">
        <f t="shared" si="23"/>
        <v>8605</v>
      </c>
    </row>
    <row r="525" spans="2:20">
      <c r="B525" s="386" t="s">
        <v>630</v>
      </c>
      <c r="C525" s="114"/>
      <c r="D525" s="111" t="s">
        <v>1547</v>
      </c>
      <c r="E525" s="111" t="s">
        <v>1735</v>
      </c>
      <c r="F525" s="111"/>
      <c r="G525" s="110" t="s">
        <v>2073</v>
      </c>
      <c r="H525" s="141">
        <v>83.203675000000004</v>
      </c>
      <c r="I525" s="280"/>
      <c r="J525" s="72">
        <v>148.52000000000001</v>
      </c>
      <c r="K525" s="271">
        <f t="shared" si="24"/>
        <v>12357.409811000001</v>
      </c>
      <c r="L525" s="111"/>
      <c r="M525" s="73"/>
      <c r="N525" s="112"/>
      <c r="O525" s="111"/>
      <c r="P525" s="312">
        <v>0</v>
      </c>
      <c r="Q525" s="288">
        <f t="shared" si="25"/>
        <v>0</v>
      </c>
      <c r="R525" s="118">
        <v>0</v>
      </c>
      <c r="S525" s="283">
        <v>2016</v>
      </c>
      <c r="T525" s="288">
        <f t="shared" ref="T525:T588" si="26">IFERROR(ROUND((K525*(1+PPI_Existing)^(YEAR-S525))+(R525*((1+LandInd_Existing)^(YEAR-S525))),0),0)</f>
        <v>13390</v>
      </c>
    </row>
    <row r="526" spans="2:20">
      <c r="B526" s="386" t="s">
        <v>631</v>
      </c>
      <c r="C526" s="114"/>
      <c r="D526" s="111" t="s">
        <v>1546</v>
      </c>
      <c r="E526" s="111" t="s">
        <v>1736</v>
      </c>
      <c r="F526" s="111"/>
      <c r="G526" s="110" t="s">
        <v>2073</v>
      </c>
      <c r="H526" s="141">
        <v>180.19157200000001</v>
      </c>
      <c r="I526" s="280"/>
      <c r="J526" s="72">
        <v>148.52000000000001</v>
      </c>
      <c r="K526" s="271">
        <f t="shared" si="24"/>
        <v>26762.052273440004</v>
      </c>
      <c r="L526" s="111"/>
      <c r="M526" s="73"/>
      <c r="N526" s="112"/>
      <c r="O526" s="111"/>
      <c r="P526" s="312">
        <v>0</v>
      </c>
      <c r="Q526" s="288">
        <f t="shared" si="25"/>
        <v>0</v>
      </c>
      <c r="R526" s="118">
        <v>0</v>
      </c>
      <c r="S526" s="283">
        <v>2016</v>
      </c>
      <c r="T526" s="288">
        <f t="shared" si="26"/>
        <v>28999</v>
      </c>
    </row>
    <row r="527" spans="2:20">
      <c r="B527" s="386" t="s">
        <v>632</v>
      </c>
      <c r="C527" s="114"/>
      <c r="D527" s="111" t="s">
        <v>1546</v>
      </c>
      <c r="E527" s="111" t="s">
        <v>1736</v>
      </c>
      <c r="F527" s="111"/>
      <c r="G527" s="110" t="s">
        <v>2073</v>
      </c>
      <c r="H527" s="141">
        <v>211.14375999999999</v>
      </c>
      <c r="I527" s="280"/>
      <c r="J527" s="72">
        <v>148.52000000000001</v>
      </c>
      <c r="K527" s="271">
        <f t="shared" si="24"/>
        <v>31359.071235200001</v>
      </c>
      <c r="L527" s="111"/>
      <c r="M527" s="73"/>
      <c r="N527" s="112"/>
      <c r="O527" s="111"/>
      <c r="P527" s="312">
        <v>0</v>
      </c>
      <c r="Q527" s="288">
        <f t="shared" si="25"/>
        <v>0</v>
      </c>
      <c r="R527" s="118">
        <v>0</v>
      </c>
      <c r="S527" s="283">
        <v>2016</v>
      </c>
      <c r="T527" s="288">
        <f t="shared" si="26"/>
        <v>33980</v>
      </c>
    </row>
    <row r="528" spans="2:20">
      <c r="B528" s="386" t="s">
        <v>633</v>
      </c>
      <c r="C528" s="114"/>
      <c r="D528" s="111" t="s">
        <v>1547</v>
      </c>
      <c r="E528" s="111" t="s">
        <v>1715</v>
      </c>
      <c r="F528" s="111"/>
      <c r="G528" s="110" t="s">
        <v>2073</v>
      </c>
      <c r="H528" s="141">
        <v>119.616956</v>
      </c>
      <c r="I528" s="280"/>
      <c r="J528" s="72">
        <v>148.52000000000001</v>
      </c>
      <c r="K528" s="271">
        <f t="shared" si="24"/>
        <v>17765.510305120002</v>
      </c>
      <c r="L528" s="111"/>
      <c r="M528" s="73"/>
      <c r="N528" s="112"/>
      <c r="O528" s="111"/>
      <c r="P528" s="312">
        <v>0</v>
      </c>
      <c r="Q528" s="288">
        <f t="shared" si="25"/>
        <v>0</v>
      </c>
      <c r="R528" s="118">
        <v>0</v>
      </c>
      <c r="S528" s="283">
        <v>2016</v>
      </c>
      <c r="T528" s="288">
        <f t="shared" si="26"/>
        <v>19251</v>
      </c>
    </row>
    <row r="529" spans="2:20">
      <c r="B529" s="386" t="s">
        <v>634</v>
      </c>
      <c r="C529" s="114"/>
      <c r="D529" s="111" t="s">
        <v>1546</v>
      </c>
      <c r="E529" s="111" t="s">
        <v>1717</v>
      </c>
      <c r="F529" s="111"/>
      <c r="G529" s="110" t="s">
        <v>2073</v>
      </c>
      <c r="H529" s="141">
        <v>619.42406200000005</v>
      </c>
      <c r="I529" s="280"/>
      <c r="J529" s="72">
        <v>148.52000000000001</v>
      </c>
      <c r="K529" s="271">
        <f t="shared" si="24"/>
        <v>91996.861688240009</v>
      </c>
      <c r="L529" s="111"/>
      <c r="M529" s="73"/>
      <c r="N529" s="112"/>
      <c r="O529" s="111"/>
      <c r="P529" s="312">
        <v>0</v>
      </c>
      <c r="Q529" s="288">
        <f t="shared" si="25"/>
        <v>0</v>
      </c>
      <c r="R529" s="118">
        <v>0</v>
      </c>
      <c r="S529" s="283">
        <v>2016</v>
      </c>
      <c r="T529" s="288">
        <f t="shared" si="26"/>
        <v>99687</v>
      </c>
    </row>
    <row r="530" spans="2:20">
      <c r="B530" s="386" t="s">
        <v>635</v>
      </c>
      <c r="C530" s="114"/>
      <c r="D530" s="111" t="s">
        <v>1546</v>
      </c>
      <c r="E530" s="111" t="s">
        <v>1717</v>
      </c>
      <c r="F530" s="111"/>
      <c r="G530" s="110" t="s">
        <v>2073</v>
      </c>
      <c r="H530" s="141">
        <v>8.4338850000000001</v>
      </c>
      <c r="I530" s="280"/>
      <c r="J530" s="72">
        <v>148.52000000000001</v>
      </c>
      <c r="K530" s="271">
        <f t="shared" si="24"/>
        <v>1252.6006002000001</v>
      </c>
      <c r="L530" s="111"/>
      <c r="M530" s="73"/>
      <c r="N530" s="112"/>
      <c r="O530" s="111"/>
      <c r="P530" s="312">
        <v>0</v>
      </c>
      <c r="Q530" s="288">
        <f t="shared" si="25"/>
        <v>0</v>
      </c>
      <c r="R530" s="118">
        <v>0</v>
      </c>
      <c r="S530" s="283">
        <v>2016</v>
      </c>
      <c r="T530" s="288">
        <f t="shared" si="26"/>
        <v>1357</v>
      </c>
    </row>
    <row r="531" spans="2:20">
      <c r="B531" s="386" t="s">
        <v>636</v>
      </c>
      <c r="C531" s="114"/>
      <c r="D531" s="111" t="s">
        <v>1546</v>
      </c>
      <c r="E531" s="111" t="s">
        <v>1717</v>
      </c>
      <c r="F531" s="111"/>
      <c r="G531" s="110" t="s">
        <v>2073</v>
      </c>
      <c r="H531" s="141">
        <v>52.733584</v>
      </c>
      <c r="I531" s="280"/>
      <c r="J531" s="72">
        <v>148.52000000000001</v>
      </c>
      <c r="K531" s="271">
        <f t="shared" si="24"/>
        <v>7831.9918956800002</v>
      </c>
      <c r="L531" s="111"/>
      <c r="M531" s="73"/>
      <c r="N531" s="112"/>
      <c r="O531" s="111"/>
      <c r="P531" s="312">
        <v>0</v>
      </c>
      <c r="Q531" s="288">
        <f t="shared" si="25"/>
        <v>0</v>
      </c>
      <c r="R531" s="118">
        <v>0</v>
      </c>
      <c r="S531" s="283">
        <v>2016</v>
      </c>
      <c r="T531" s="288">
        <f t="shared" si="26"/>
        <v>8487</v>
      </c>
    </row>
    <row r="532" spans="2:20">
      <c r="B532" s="386" t="s">
        <v>637</v>
      </c>
      <c r="C532" s="114"/>
      <c r="D532" s="111" t="s">
        <v>1546</v>
      </c>
      <c r="E532" s="111" t="s">
        <v>1717</v>
      </c>
      <c r="F532" s="111"/>
      <c r="G532" s="110" t="s">
        <v>2073</v>
      </c>
      <c r="H532" s="141">
        <v>18.067772000000001</v>
      </c>
      <c r="I532" s="280"/>
      <c r="J532" s="72">
        <v>148.52000000000001</v>
      </c>
      <c r="K532" s="271">
        <f t="shared" si="24"/>
        <v>2683.4254974400005</v>
      </c>
      <c r="L532" s="111"/>
      <c r="M532" s="73"/>
      <c r="N532" s="112"/>
      <c r="O532" s="111"/>
      <c r="P532" s="312">
        <v>0</v>
      </c>
      <c r="Q532" s="288">
        <f t="shared" si="25"/>
        <v>0</v>
      </c>
      <c r="R532" s="118">
        <v>0</v>
      </c>
      <c r="S532" s="283">
        <v>2016</v>
      </c>
      <c r="T532" s="288">
        <f t="shared" si="26"/>
        <v>2908</v>
      </c>
    </row>
    <row r="533" spans="2:20">
      <c r="B533" s="386" t="s">
        <v>638</v>
      </c>
      <c r="C533" s="114"/>
      <c r="D533" s="111" t="s">
        <v>1546</v>
      </c>
      <c r="E533" s="111" t="s">
        <v>1717</v>
      </c>
      <c r="F533" s="111"/>
      <c r="G533" s="110" t="s">
        <v>2073</v>
      </c>
      <c r="H533" s="141">
        <v>26.558084000000001</v>
      </c>
      <c r="I533" s="280"/>
      <c r="J533" s="72">
        <v>148.52000000000001</v>
      </c>
      <c r="K533" s="271">
        <f t="shared" si="24"/>
        <v>3944.4066356800004</v>
      </c>
      <c r="L533" s="111"/>
      <c r="M533" s="73"/>
      <c r="N533" s="112"/>
      <c r="O533" s="111"/>
      <c r="P533" s="312">
        <v>0</v>
      </c>
      <c r="Q533" s="288">
        <f t="shared" si="25"/>
        <v>0</v>
      </c>
      <c r="R533" s="118">
        <v>0</v>
      </c>
      <c r="S533" s="283">
        <v>2016</v>
      </c>
      <c r="T533" s="288">
        <f t="shared" si="26"/>
        <v>4274</v>
      </c>
    </row>
    <row r="534" spans="2:20">
      <c r="B534" s="386" t="s">
        <v>639</v>
      </c>
      <c r="C534" s="114"/>
      <c r="D534" s="111" t="s">
        <v>1546</v>
      </c>
      <c r="E534" s="111" t="s">
        <v>1717</v>
      </c>
      <c r="F534" s="111"/>
      <c r="G534" s="110" t="s">
        <v>2073</v>
      </c>
      <c r="H534" s="141">
        <v>66.139854</v>
      </c>
      <c r="I534" s="280"/>
      <c r="J534" s="72">
        <v>148.52000000000001</v>
      </c>
      <c r="K534" s="271">
        <f t="shared" si="24"/>
        <v>9823.0911160800006</v>
      </c>
      <c r="L534" s="111"/>
      <c r="M534" s="73"/>
      <c r="N534" s="112"/>
      <c r="O534" s="111"/>
      <c r="P534" s="312">
        <v>0</v>
      </c>
      <c r="Q534" s="288">
        <f t="shared" si="25"/>
        <v>0</v>
      </c>
      <c r="R534" s="118">
        <v>0</v>
      </c>
      <c r="S534" s="283">
        <v>2016</v>
      </c>
      <c r="T534" s="288">
        <f t="shared" si="26"/>
        <v>10644</v>
      </c>
    </row>
    <row r="535" spans="2:20">
      <c r="B535" s="386" t="s">
        <v>640</v>
      </c>
      <c r="C535" s="114"/>
      <c r="D535" s="111" t="s">
        <v>1546</v>
      </c>
      <c r="E535" s="111" t="s">
        <v>1717</v>
      </c>
      <c r="F535" s="111"/>
      <c r="G535" s="110" t="s">
        <v>2073</v>
      </c>
      <c r="H535" s="141">
        <v>739.03009499999996</v>
      </c>
      <c r="I535" s="280"/>
      <c r="J535" s="72">
        <v>148.52000000000001</v>
      </c>
      <c r="K535" s="271">
        <f t="shared" si="24"/>
        <v>109760.7497094</v>
      </c>
      <c r="L535" s="111"/>
      <c r="M535" s="73"/>
      <c r="N535" s="112"/>
      <c r="O535" s="111"/>
      <c r="P535" s="312">
        <v>0</v>
      </c>
      <c r="Q535" s="288">
        <f t="shared" si="25"/>
        <v>0</v>
      </c>
      <c r="R535" s="118">
        <v>0</v>
      </c>
      <c r="S535" s="283">
        <v>2016</v>
      </c>
      <c r="T535" s="288">
        <f t="shared" si="26"/>
        <v>118936</v>
      </c>
    </row>
    <row r="536" spans="2:20">
      <c r="B536" s="386" t="s">
        <v>641</v>
      </c>
      <c r="C536" s="114"/>
      <c r="D536" s="111" t="s">
        <v>1546</v>
      </c>
      <c r="E536" s="111" t="s">
        <v>1717</v>
      </c>
      <c r="F536" s="111"/>
      <c r="G536" s="110" t="s">
        <v>2073</v>
      </c>
      <c r="H536" s="141">
        <v>32.642898000000002</v>
      </c>
      <c r="I536" s="280"/>
      <c r="J536" s="72">
        <v>148.52000000000001</v>
      </c>
      <c r="K536" s="271">
        <f t="shared" si="24"/>
        <v>4848.1232109600005</v>
      </c>
      <c r="L536" s="111"/>
      <c r="M536" s="73"/>
      <c r="N536" s="112"/>
      <c r="O536" s="111"/>
      <c r="P536" s="312">
        <v>0</v>
      </c>
      <c r="Q536" s="288">
        <f t="shared" si="25"/>
        <v>0</v>
      </c>
      <c r="R536" s="118">
        <v>0</v>
      </c>
      <c r="S536" s="283">
        <v>2016</v>
      </c>
      <c r="T536" s="288">
        <f t="shared" si="26"/>
        <v>5253</v>
      </c>
    </row>
    <row r="537" spans="2:20">
      <c r="B537" s="386" t="s">
        <v>642</v>
      </c>
      <c r="C537" s="114"/>
      <c r="D537" s="111" t="s">
        <v>1546</v>
      </c>
      <c r="E537" s="111" t="s">
        <v>1717</v>
      </c>
      <c r="F537" s="111"/>
      <c r="G537" s="110" t="s">
        <v>2073</v>
      </c>
      <c r="H537" s="141">
        <v>36.025252000000002</v>
      </c>
      <c r="I537" s="280"/>
      <c r="J537" s="72">
        <v>148.52000000000001</v>
      </c>
      <c r="K537" s="271">
        <f t="shared" si="24"/>
        <v>5350.4704270400007</v>
      </c>
      <c r="L537" s="111"/>
      <c r="M537" s="73"/>
      <c r="N537" s="112"/>
      <c r="O537" s="111"/>
      <c r="P537" s="312">
        <v>0</v>
      </c>
      <c r="Q537" s="288">
        <f t="shared" si="25"/>
        <v>0</v>
      </c>
      <c r="R537" s="118">
        <v>0</v>
      </c>
      <c r="S537" s="283">
        <v>2016</v>
      </c>
      <c r="T537" s="288">
        <f t="shared" si="26"/>
        <v>5798</v>
      </c>
    </row>
    <row r="538" spans="2:20">
      <c r="B538" s="386" t="s">
        <v>643</v>
      </c>
      <c r="C538" s="114"/>
      <c r="D538" s="111" t="s">
        <v>1546</v>
      </c>
      <c r="E538" s="111" t="s">
        <v>1737</v>
      </c>
      <c r="F538" s="111"/>
      <c r="G538" s="110" t="s">
        <v>2073</v>
      </c>
      <c r="H538" s="141">
        <v>95.412989999999994</v>
      </c>
      <c r="I538" s="280"/>
      <c r="J538" s="72">
        <v>148.52000000000001</v>
      </c>
      <c r="K538" s="271">
        <f t="shared" si="24"/>
        <v>14170.7372748</v>
      </c>
      <c r="L538" s="111"/>
      <c r="M538" s="73"/>
      <c r="N538" s="112"/>
      <c r="O538" s="111"/>
      <c r="P538" s="312">
        <v>0</v>
      </c>
      <c r="Q538" s="288">
        <f t="shared" si="25"/>
        <v>0</v>
      </c>
      <c r="R538" s="118">
        <v>0</v>
      </c>
      <c r="S538" s="283">
        <v>2016</v>
      </c>
      <c r="T538" s="288">
        <f t="shared" si="26"/>
        <v>15355</v>
      </c>
    </row>
    <row r="539" spans="2:20">
      <c r="B539" s="386" t="s">
        <v>644</v>
      </c>
      <c r="C539" s="114"/>
      <c r="D539" s="111" t="s">
        <v>1546</v>
      </c>
      <c r="E539" s="111" t="s">
        <v>1737</v>
      </c>
      <c r="F539" s="111"/>
      <c r="G539" s="110" t="s">
        <v>2073</v>
      </c>
      <c r="H539" s="141">
        <v>211.607437</v>
      </c>
      <c r="I539" s="280"/>
      <c r="J539" s="72">
        <v>148.52000000000001</v>
      </c>
      <c r="K539" s="271">
        <f t="shared" si="24"/>
        <v>31427.936543240005</v>
      </c>
      <c r="L539" s="111"/>
      <c r="M539" s="73"/>
      <c r="N539" s="112"/>
      <c r="O539" s="111"/>
      <c r="P539" s="312">
        <v>0</v>
      </c>
      <c r="Q539" s="288">
        <f t="shared" si="25"/>
        <v>0</v>
      </c>
      <c r="R539" s="118">
        <v>0</v>
      </c>
      <c r="S539" s="283">
        <v>2016</v>
      </c>
      <c r="T539" s="288">
        <f t="shared" si="26"/>
        <v>34055</v>
      </c>
    </row>
    <row r="540" spans="2:20">
      <c r="B540" s="386" t="s">
        <v>645</v>
      </c>
      <c r="C540" s="114"/>
      <c r="D540" s="111" t="s">
        <v>1546</v>
      </c>
      <c r="E540" s="111" t="s">
        <v>1737</v>
      </c>
      <c r="F540" s="111"/>
      <c r="G540" s="110" t="s">
        <v>2073</v>
      </c>
      <c r="H540" s="141">
        <v>36.146177000000002</v>
      </c>
      <c r="I540" s="280"/>
      <c r="J540" s="72">
        <v>148.52000000000001</v>
      </c>
      <c r="K540" s="271">
        <f t="shared" si="24"/>
        <v>5368.4302080400003</v>
      </c>
      <c r="L540" s="111"/>
      <c r="M540" s="73"/>
      <c r="N540" s="112"/>
      <c r="O540" s="111"/>
      <c r="P540" s="312">
        <v>0</v>
      </c>
      <c r="Q540" s="288">
        <f t="shared" si="25"/>
        <v>0</v>
      </c>
      <c r="R540" s="118">
        <v>0</v>
      </c>
      <c r="S540" s="283">
        <v>2016</v>
      </c>
      <c r="T540" s="288">
        <f t="shared" si="26"/>
        <v>5817</v>
      </c>
    </row>
    <row r="541" spans="2:20">
      <c r="B541" s="386" t="s">
        <v>646</v>
      </c>
      <c r="C541" s="114"/>
      <c r="D541" s="111" t="s">
        <v>1546</v>
      </c>
      <c r="E541" s="111" t="s">
        <v>1737</v>
      </c>
      <c r="F541" s="111"/>
      <c r="G541" s="110" t="s">
        <v>2073</v>
      </c>
      <c r="H541" s="141">
        <v>186.041583</v>
      </c>
      <c r="I541" s="280"/>
      <c r="J541" s="72">
        <v>148.52000000000001</v>
      </c>
      <c r="K541" s="271">
        <f t="shared" si="24"/>
        <v>27630.895907160004</v>
      </c>
      <c r="L541" s="111"/>
      <c r="M541" s="73"/>
      <c r="N541" s="112"/>
      <c r="O541" s="111"/>
      <c r="P541" s="312">
        <v>0</v>
      </c>
      <c r="Q541" s="288">
        <f t="shared" si="25"/>
        <v>0</v>
      </c>
      <c r="R541" s="118">
        <v>0</v>
      </c>
      <c r="S541" s="283">
        <v>2016</v>
      </c>
      <c r="T541" s="288">
        <f t="shared" si="26"/>
        <v>29941</v>
      </c>
    </row>
    <row r="542" spans="2:20">
      <c r="B542" s="386" t="s">
        <v>647</v>
      </c>
      <c r="C542" s="114"/>
      <c r="D542" s="111" t="s">
        <v>1546</v>
      </c>
      <c r="E542" s="111" t="s">
        <v>1738</v>
      </c>
      <c r="F542" s="111"/>
      <c r="G542" s="110" t="s">
        <v>2073</v>
      </c>
      <c r="H542" s="141">
        <v>425.87168800000001</v>
      </c>
      <c r="I542" s="280"/>
      <c r="J542" s="72">
        <v>148.52000000000001</v>
      </c>
      <c r="K542" s="271">
        <f t="shared" si="24"/>
        <v>63250.463101760004</v>
      </c>
      <c r="L542" s="111"/>
      <c r="M542" s="73"/>
      <c r="N542" s="112"/>
      <c r="O542" s="111"/>
      <c r="P542" s="312">
        <v>0</v>
      </c>
      <c r="Q542" s="288">
        <f t="shared" si="25"/>
        <v>0</v>
      </c>
      <c r="R542" s="118">
        <v>0</v>
      </c>
      <c r="S542" s="283">
        <v>2016</v>
      </c>
      <c r="T542" s="288">
        <f t="shared" si="26"/>
        <v>68538</v>
      </c>
    </row>
    <row r="543" spans="2:20">
      <c r="B543" s="386" t="s">
        <v>648</v>
      </c>
      <c r="C543" s="114"/>
      <c r="D543" s="111" t="s">
        <v>1546</v>
      </c>
      <c r="E543" s="111" t="s">
        <v>1738</v>
      </c>
      <c r="F543" s="111"/>
      <c r="G543" s="110" t="s">
        <v>2073</v>
      </c>
      <c r="H543" s="141">
        <v>3691.1607009999998</v>
      </c>
      <c r="I543" s="280"/>
      <c r="J543" s="72">
        <v>148.52000000000001</v>
      </c>
      <c r="K543" s="271">
        <f t="shared" si="24"/>
        <v>548211.18731251999</v>
      </c>
      <c r="L543" s="111"/>
      <c r="M543" s="73"/>
      <c r="N543" s="112"/>
      <c r="O543" s="111"/>
      <c r="P543" s="312">
        <v>0</v>
      </c>
      <c r="Q543" s="288">
        <f t="shared" si="25"/>
        <v>0</v>
      </c>
      <c r="R543" s="118">
        <v>0</v>
      </c>
      <c r="S543" s="283">
        <v>2016</v>
      </c>
      <c r="T543" s="288">
        <f t="shared" si="26"/>
        <v>594036</v>
      </c>
    </row>
    <row r="544" spans="2:20">
      <c r="B544" s="386" t="s">
        <v>649</v>
      </c>
      <c r="C544" s="114"/>
      <c r="D544" s="111" t="s">
        <v>1546</v>
      </c>
      <c r="E544" s="111" t="s">
        <v>1738</v>
      </c>
      <c r="F544" s="111"/>
      <c r="G544" s="110" t="s">
        <v>2073</v>
      </c>
      <c r="H544" s="141">
        <v>193.64527000000001</v>
      </c>
      <c r="I544" s="280"/>
      <c r="J544" s="72">
        <v>148.52000000000001</v>
      </c>
      <c r="K544" s="271">
        <f t="shared" si="24"/>
        <v>28760.195500400005</v>
      </c>
      <c r="L544" s="111"/>
      <c r="M544" s="73"/>
      <c r="N544" s="112"/>
      <c r="O544" s="111"/>
      <c r="P544" s="312">
        <v>0</v>
      </c>
      <c r="Q544" s="288">
        <f t="shared" si="25"/>
        <v>0</v>
      </c>
      <c r="R544" s="118">
        <v>0</v>
      </c>
      <c r="S544" s="283">
        <v>2016</v>
      </c>
      <c r="T544" s="288">
        <f t="shared" si="26"/>
        <v>31164</v>
      </c>
    </row>
    <row r="545" spans="2:20">
      <c r="B545" s="386" t="s">
        <v>650</v>
      </c>
      <c r="C545" s="114"/>
      <c r="D545" s="111" t="s">
        <v>1546</v>
      </c>
      <c r="E545" s="111" t="s">
        <v>1738</v>
      </c>
      <c r="F545" s="111"/>
      <c r="G545" s="110" t="s">
        <v>2073</v>
      </c>
      <c r="H545" s="141">
        <v>44.080177999999997</v>
      </c>
      <c r="I545" s="280"/>
      <c r="J545" s="72">
        <v>148.52000000000001</v>
      </c>
      <c r="K545" s="271">
        <f t="shared" si="24"/>
        <v>6546.7880365600004</v>
      </c>
      <c r="L545" s="111"/>
      <c r="M545" s="73"/>
      <c r="N545" s="112"/>
      <c r="O545" s="111"/>
      <c r="P545" s="312">
        <v>0</v>
      </c>
      <c r="Q545" s="288">
        <f t="shared" si="25"/>
        <v>0</v>
      </c>
      <c r="R545" s="118">
        <v>0</v>
      </c>
      <c r="S545" s="283">
        <v>2016</v>
      </c>
      <c r="T545" s="288">
        <f t="shared" si="26"/>
        <v>7094</v>
      </c>
    </row>
    <row r="546" spans="2:20">
      <c r="B546" s="386" t="s">
        <v>651</v>
      </c>
      <c r="C546" s="114"/>
      <c r="D546" s="111" t="s">
        <v>1546</v>
      </c>
      <c r="E546" s="111" t="s">
        <v>1738</v>
      </c>
      <c r="F546" s="111"/>
      <c r="G546" s="110" t="s">
        <v>2073</v>
      </c>
      <c r="H546" s="141">
        <v>26.413768999999998</v>
      </c>
      <c r="I546" s="280"/>
      <c r="J546" s="72">
        <v>148.52000000000001</v>
      </c>
      <c r="K546" s="271">
        <f t="shared" si="24"/>
        <v>3922.9729718799999</v>
      </c>
      <c r="L546" s="111"/>
      <c r="M546" s="73"/>
      <c r="N546" s="112"/>
      <c r="O546" s="111"/>
      <c r="P546" s="312">
        <v>0</v>
      </c>
      <c r="Q546" s="288">
        <f t="shared" si="25"/>
        <v>0</v>
      </c>
      <c r="R546" s="118">
        <v>0</v>
      </c>
      <c r="S546" s="283">
        <v>2016</v>
      </c>
      <c r="T546" s="288">
        <f t="shared" si="26"/>
        <v>4251</v>
      </c>
    </row>
    <row r="547" spans="2:20">
      <c r="B547" s="386" t="s">
        <v>652</v>
      </c>
      <c r="C547" s="114"/>
      <c r="D547" s="111" t="s">
        <v>1546</v>
      </c>
      <c r="E547" s="111" t="s">
        <v>1738</v>
      </c>
      <c r="F547" s="111"/>
      <c r="G547" s="110" t="s">
        <v>2073</v>
      </c>
      <c r="H547" s="141">
        <v>596.89825800000006</v>
      </c>
      <c r="I547" s="280"/>
      <c r="J547" s="72">
        <v>148.52000000000001</v>
      </c>
      <c r="K547" s="271">
        <f t="shared" si="24"/>
        <v>88651.329278160018</v>
      </c>
      <c r="L547" s="111"/>
      <c r="M547" s="73"/>
      <c r="N547" s="112"/>
      <c r="O547" s="111"/>
      <c r="P547" s="312">
        <v>0</v>
      </c>
      <c r="Q547" s="288">
        <f t="shared" si="25"/>
        <v>0</v>
      </c>
      <c r="R547" s="118">
        <v>0</v>
      </c>
      <c r="S547" s="283">
        <v>2016</v>
      </c>
      <c r="T547" s="288">
        <f t="shared" si="26"/>
        <v>96062</v>
      </c>
    </row>
    <row r="548" spans="2:20">
      <c r="B548" s="386" t="s">
        <v>653</v>
      </c>
      <c r="C548" s="114"/>
      <c r="D548" s="111" t="s">
        <v>1546</v>
      </c>
      <c r="E548" s="111" t="s">
        <v>1738</v>
      </c>
      <c r="F548" s="111"/>
      <c r="G548" s="110" t="s">
        <v>2073</v>
      </c>
      <c r="H548" s="141">
        <v>48.828980999999999</v>
      </c>
      <c r="I548" s="280"/>
      <c r="J548" s="72">
        <v>148.52000000000001</v>
      </c>
      <c r="K548" s="271">
        <f t="shared" si="24"/>
        <v>7252.0802581200005</v>
      </c>
      <c r="L548" s="111"/>
      <c r="M548" s="73"/>
      <c r="N548" s="112"/>
      <c r="O548" s="111"/>
      <c r="P548" s="312">
        <v>0</v>
      </c>
      <c r="Q548" s="288">
        <f t="shared" si="25"/>
        <v>0</v>
      </c>
      <c r="R548" s="118">
        <v>0</v>
      </c>
      <c r="S548" s="283">
        <v>2016</v>
      </c>
      <c r="T548" s="288">
        <f t="shared" si="26"/>
        <v>7858</v>
      </c>
    </row>
    <row r="549" spans="2:20">
      <c r="B549" s="386" t="s">
        <v>654</v>
      </c>
      <c r="C549" s="114"/>
      <c r="D549" s="111" t="s">
        <v>1546</v>
      </c>
      <c r="E549" s="111" t="s">
        <v>1738</v>
      </c>
      <c r="F549" s="111"/>
      <c r="G549" s="110" t="s">
        <v>2073</v>
      </c>
      <c r="H549" s="141">
        <v>26.206593999999999</v>
      </c>
      <c r="I549" s="280"/>
      <c r="J549" s="72">
        <v>148.52000000000001</v>
      </c>
      <c r="K549" s="271">
        <f t="shared" si="24"/>
        <v>3892.2033408800003</v>
      </c>
      <c r="L549" s="111"/>
      <c r="M549" s="73"/>
      <c r="N549" s="112"/>
      <c r="O549" s="111"/>
      <c r="P549" s="312">
        <v>0</v>
      </c>
      <c r="Q549" s="288">
        <f t="shared" si="25"/>
        <v>0</v>
      </c>
      <c r="R549" s="118">
        <v>0</v>
      </c>
      <c r="S549" s="283">
        <v>2016</v>
      </c>
      <c r="T549" s="288">
        <f t="shared" si="26"/>
        <v>4218</v>
      </c>
    </row>
    <row r="550" spans="2:20">
      <c r="B550" s="386" t="s">
        <v>655</v>
      </c>
      <c r="C550" s="114"/>
      <c r="D550" s="111" t="s">
        <v>1546</v>
      </c>
      <c r="E550" s="111" t="s">
        <v>1738</v>
      </c>
      <c r="F550" s="111"/>
      <c r="G550" s="110" t="s">
        <v>2073</v>
      </c>
      <c r="H550" s="141">
        <v>24.437139999999999</v>
      </c>
      <c r="I550" s="280"/>
      <c r="J550" s="72">
        <v>148.52000000000001</v>
      </c>
      <c r="K550" s="271">
        <f t="shared" si="24"/>
        <v>3629.4040328000001</v>
      </c>
      <c r="L550" s="111"/>
      <c r="M550" s="73"/>
      <c r="N550" s="112"/>
      <c r="O550" s="111"/>
      <c r="P550" s="312">
        <v>0</v>
      </c>
      <c r="Q550" s="288">
        <f t="shared" si="25"/>
        <v>0</v>
      </c>
      <c r="R550" s="118">
        <v>0</v>
      </c>
      <c r="S550" s="283">
        <v>2016</v>
      </c>
      <c r="T550" s="288">
        <f t="shared" si="26"/>
        <v>3933</v>
      </c>
    </row>
    <row r="551" spans="2:20">
      <c r="B551" s="386" t="s">
        <v>656</v>
      </c>
      <c r="C551" s="114"/>
      <c r="D551" s="111" t="s">
        <v>1546</v>
      </c>
      <c r="E551" s="111" t="s">
        <v>1738</v>
      </c>
      <c r="F551" s="111"/>
      <c r="G551" s="110" t="s">
        <v>2073</v>
      </c>
      <c r="H551" s="141">
        <v>756.245091</v>
      </c>
      <c r="I551" s="280"/>
      <c r="J551" s="72">
        <v>148.52000000000001</v>
      </c>
      <c r="K551" s="271">
        <f t="shared" si="24"/>
        <v>112317.52091532001</v>
      </c>
      <c r="L551" s="111"/>
      <c r="M551" s="73"/>
      <c r="N551" s="112"/>
      <c r="O551" s="111"/>
      <c r="P551" s="312">
        <v>0</v>
      </c>
      <c r="Q551" s="288">
        <f t="shared" si="25"/>
        <v>0</v>
      </c>
      <c r="R551" s="118">
        <v>0</v>
      </c>
      <c r="S551" s="283">
        <v>2016</v>
      </c>
      <c r="T551" s="288">
        <f t="shared" si="26"/>
        <v>121706</v>
      </c>
    </row>
    <row r="552" spans="2:20">
      <c r="B552" s="386" t="s">
        <v>657</v>
      </c>
      <c r="C552" s="114"/>
      <c r="D552" s="111" t="s">
        <v>1546</v>
      </c>
      <c r="E552" s="111" t="s">
        <v>1738</v>
      </c>
      <c r="F552" s="111"/>
      <c r="G552" s="110" t="s">
        <v>2073</v>
      </c>
      <c r="H552" s="141">
        <v>218.94624999999999</v>
      </c>
      <c r="I552" s="280"/>
      <c r="J552" s="72">
        <v>148.52000000000001</v>
      </c>
      <c r="K552" s="271">
        <f t="shared" si="24"/>
        <v>32517.89705</v>
      </c>
      <c r="L552" s="111"/>
      <c r="M552" s="73"/>
      <c r="N552" s="112"/>
      <c r="O552" s="111"/>
      <c r="P552" s="312">
        <v>0</v>
      </c>
      <c r="Q552" s="288">
        <f t="shared" si="25"/>
        <v>0</v>
      </c>
      <c r="R552" s="118">
        <v>0</v>
      </c>
      <c r="S552" s="283">
        <v>2016</v>
      </c>
      <c r="T552" s="288">
        <f t="shared" si="26"/>
        <v>35236</v>
      </c>
    </row>
    <row r="553" spans="2:20">
      <c r="B553" s="386" t="s">
        <v>658</v>
      </c>
      <c r="C553" s="114"/>
      <c r="D553" s="111" t="s">
        <v>1546</v>
      </c>
      <c r="E553" s="111" t="s">
        <v>1738</v>
      </c>
      <c r="F553" s="111"/>
      <c r="G553" s="110" t="s">
        <v>2073</v>
      </c>
      <c r="H553" s="141">
        <v>43.743177000000003</v>
      </c>
      <c r="I553" s="280"/>
      <c r="J553" s="72">
        <v>148.52000000000001</v>
      </c>
      <c r="K553" s="271">
        <f t="shared" si="24"/>
        <v>6496.7366480400005</v>
      </c>
      <c r="L553" s="111"/>
      <c r="M553" s="73"/>
      <c r="N553" s="112"/>
      <c r="O553" s="111"/>
      <c r="P553" s="312">
        <v>0</v>
      </c>
      <c r="Q553" s="288">
        <f t="shared" si="25"/>
        <v>0</v>
      </c>
      <c r="R553" s="118">
        <v>0</v>
      </c>
      <c r="S553" s="283">
        <v>2016</v>
      </c>
      <c r="T553" s="288">
        <f t="shared" si="26"/>
        <v>7040</v>
      </c>
    </row>
    <row r="554" spans="2:20">
      <c r="B554" s="386" t="s">
        <v>659</v>
      </c>
      <c r="C554" s="114"/>
      <c r="D554" s="111" t="s">
        <v>1546</v>
      </c>
      <c r="E554" s="111" t="s">
        <v>1738</v>
      </c>
      <c r="F554" s="111"/>
      <c r="G554" s="110" t="s">
        <v>2073</v>
      </c>
      <c r="H554" s="141">
        <v>12.462217000000001</v>
      </c>
      <c r="I554" s="280"/>
      <c r="J554" s="72">
        <v>148.52000000000001</v>
      </c>
      <c r="K554" s="271">
        <f t="shared" si="24"/>
        <v>1850.8884688400003</v>
      </c>
      <c r="L554" s="111"/>
      <c r="M554" s="73"/>
      <c r="N554" s="112"/>
      <c r="O554" s="111"/>
      <c r="P554" s="312">
        <v>0</v>
      </c>
      <c r="Q554" s="288">
        <f t="shared" si="25"/>
        <v>0</v>
      </c>
      <c r="R554" s="118">
        <v>0</v>
      </c>
      <c r="S554" s="283">
        <v>2016</v>
      </c>
      <c r="T554" s="288">
        <f t="shared" si="26"/>
        <v>2006</v>
      </c>
    </row>
    <row r="555" spans="2:20">
      <c r="B555" s="386" t="s">
        <v>660</v>
      </c>
      <c r="C555" s="114"/>
      <c r="D555" s="111" t="s">
        <v>1546</v>
      </c>
      <c r="E555" s="111" t="s">
        <v>1739</v>
      </c>
      <c r="F555" s="111"/>
      <c r="G555" s="110" t="s">
        <v>2073</v>
      </c>
      <c r="H555" s="141">
        <v>937.16167600000006</v>
      </c>
      <c r="I555" s="280"/>
      <c r="J555" s="72">
        <v>148.52000000000001</v>
      </c>
      <c r="K555" s="271">
        <f t="shared" si="24"/>
        <v>139187.25211952001</v>
      </c>
      <c r="L555" s="111"/>
      <c r="M555" s="73"/>
      <c r="N555" s="112"/>
      <c r="O555" s="111"/>
      <c r="P555" s="312">
        <v>0</v>
      </c>
      <c r="Q555" s="288">
        <f t="shared" si="25"/>
        <v>0</v>
      </c>
      <c r="R555" s="118">
        <v>0</v>
      </c>
      <c r="S555" s="283">
        <v>2016</v>
      </c>
      <c r="T555" s="288">
        <f t="shared" si="26"/>
        <v>150822</v>
      </c>
    </row>
    <row r="556" spans="2:20">
      <c r="B556" s="386" t="s">
        <v>661</v>
      </c>
      <c r="C556" s="114"/>
      <c r="D556" s="111" t="s">
        <v>1546</v>
      </c>
      <c r="E556" s="111" t="s">
        <v>1739</v>
      </c>
      <c r="F556" s="111"/>
      <c r="G556" s="110" t="s">
        <v>2073</v>
      </c>
      <c r="H556" s="141">
        <v>79.513932999999994</v>
      </c>
      <c r="I556" s="280"/>
      <c r="J556" s="72">
        <v>148.52000000000001</v>
      </c>
      <c r="K556" s="271">
        <f t="shared" si="24"/>
        <v>11809.40932916</v>
      </c>
      <c r="L556" s="111"/>
      <c r="M556" s="73"/>
      <c r="N556" s="112"/>
      <c r="O556" s="111"/>
      <c r="P556" s="312">
        <v>0</v>
      </c>
      <c r="Q556" s="288">
        <f t="shared" si="25"/>
        <v>0</v>
      </c>
      <c r="R556" s="118">
        <v>0</v>
      </c>
      <c r="S556" s="283">
        <v>2016</v>
      </c>
      <c r="T556" s="288">
        <f t="shared" si="26"/>
        <v>12797</v>
      </c>
    </row>
    <row r="557" spans="2:20">
      <c r="B557" s="386" t="s">
        <v>662</v>
      </c>
      <c r="C557" s="114"/>
      <c r="D557" s="111" t="s">
        <v>1547</v>
      </c>
      <c r="E557" s="111" t="s">
        <v>1739</v>
      </c>
      <c r="F557" s="111"/>
      <c r="G557" s="110" t="s">
        <v>2073</v>
      </c>
      <c r="H557" s="141">
        <v>30.782205000000001</v>
      </c>
      <c r="I557" s="280"/>
      <c r="J557" s="72">
        <v>148.52000000000001</v>
      </c>
      <c r="K557" s="271">
        <f t="shared" si="24"/>
        <v>4571.7730866000002</v>
      </c>
      <c r="L557" s="111"/>
      <c r="M557" s="73"/>
      <c r="N557" s="112"/>
      <c r="O557" s="111"/>
      <c r="P557" s="312">
        <v>0</v>
      </c>
      <c r="Q557" s="288">
        <f t="shared" si="25"/>
        <v>0</v>
      </c>
      <c r="R557" s="118">
        <v>0</v>
      </c>
      <c r="S557" s="283">
        <v>2016</v>
      </c>
      <c r="T557" s="288">
        <f t="shared" si="26"/>
        <v>4954</v>
      </c>
    </row>
    <row r="558" spans="2:20">
      <c r="B558" s="386" t="s">
        <v>663</v>
      </c>
      <c r="C558" s="114"/>
      <c r="D558" s="111" t="s">
        <v>1547</v>
      </c>
      <c r="E558" s="111" t="s">
        <v>1739</v>
      </c>
      <c r="F558" s="111"/>
      <c r="G558" s="110" t="s">
        <v>2073</v>
      </c>
      <c r="H558" s="141">
        <v>44.165492999999998</v>
      </c>
      <c r="I558" s="280"/>
      <c r="J558" s="72">
        <v>148.52000000000001</v>
      </c>
      <c r="K558" s="271">
        <f t="shared" si="24"/>
        <v>6559.4590203600001</v>
      </c>
      <c r="L558" s="111"/>
      <c r="M558" s="73"/>
      <c r="N558" s="112"/>
      <c r="O558" s="111"/>
      <c r="P558" s="312">
        <v>0</v>
      </c>
      <c r="Q558" s="288">
        <f t="shared" si="25"/>
        <v>0</v>
      </c>
      <c r="R558" s="118">
        <v>0</v>
      </c>
      <c r="S558" s="283">
        <v>2016</v>
      </c>
      <c r="T558" s="288">
        <f t="shared" si="26"/>
        <v>7108</v>
      </c>
    </row>
    <row r="559" spans="2:20">
      <c r="B559" s="386" t="s">
        <v>664</v>
      </c>
      <c r="C559" s="114"/>
      <c r="D559" s="111" t="s">
        <v>1546</v>
      </c>
      <c r="E559" s="111" t="s">
        <v>1740</v>
      </c>
      <c r="F559" s="111"/>
      <c r="G559" s="110" t="s">
        <v>2073</v>
      </c>
      <c r="H559" s="141">
        <v>13.449406</v>
      </c>
      <c r="I559" s="280"/>
      <c r="J559" s="72">
        <v>148.52000000000001</v>
      </c>
      <c r="K559" s="271">
        <f t="shared" si="24"/>
        <v>1997.5057791200002</v>
      </c>
      <c r="L559" s="111"/>
      <c r="M559" s="73"/>
      <c r="N559" s="112"/>
      <c r="O559" s="111"/>
      <c r="P559" s="312">
        <v>0</v>
      </c>
      <c r="Q559" s="288">
        <f t="shared" si="25"/>
        <v>0</v>
      </c>
      <c r="R559" s="118">
        <v>0</v>
      </c>
      <c r="S559" s="283">
        <v>2016</v>
      </c>
      <c r="T559" s="288">
        <f t="shared" si="26"/>
        <v>2164</v>
      </c>
    </row>
    <row r="560" spans="2:20">
      <c r="B560" s="386" t="s">
        <v>665</v>
      </c>
      <c r="C560" s="114"/>
      <c r="D560" s="111" t="s">
        <v>1546</v>
      </c>
      <c r="E560" s="111" t="s">
        <v>1740</v>
      </c>
      <c r="F560" s="111"/>
      <c r="G560" s="110" t="s">
        <v>2073</v>
      </c>
      <c r="H560" s="141">
        <v>1465.136274</v>
      </c>
      <c r="I560" s="280"/>
      <c r="J560" s="72">
        <v>148.52000000000001</v>
      </c>
      <c r="K560" s="271">
        <f t="shared" si="24"/>
        <v>217602.03941448001</v>
      </c>
      <c r="L560" s="111"/>
      <c r="M560" s="73"/>
      <c r="N560" s="112"/>
      <c r="O560" s="111"/>
      <c r="P560" s="312">
        <v>0</v>
      </c>
      <c r="Q560" s="288">
        <f t="shared" si="25"/>
        <v>0</v>
      </c>
      <c r="R560" s="118">
        <v>0</v>
      </c>
      <c r="S560" s="283">
        <v>2016</v>
      </c>
      <c r="T560" s="288">
        <f t="shared" si="26"/>
        <v>235791</v>
      </c>
    </row>
    <row r="561" spans="2:20">
      <c r="B561" s="386" t="s">
        <v>666</v>
      </c>
      <c r="C561" s="114"/>
      <c r="D561" s="111" t="s">
        <v>1546</v>
      </c>
      <c r="E561" s="111" t="s">
        <v>1740</v>
      </c>
      <c r="F561" s="111"/>
      <c r="G561" s="110" t="s">
        <v>2074</v>
      </c>
      <c r="H561" s="141">
        <v>517.02324099999998</v>
      </c>
      <c r="I561" s="280"/>
      <c r="J561" s="72">
        <v>148.52000000000001</v>
      </c>
      <c r="K561" s="271">
        <f t="shared" si="24"/>
        <v>76788.291753320009</v>
      </c>
      <c r="L561" s="111"/>
      <c r="M561" s="73"/>
      <c r="N561" s="112"/>
      <c r="O561" s="111"/>
      <c r="P561" s="312">
        <v>0</v>
      </c>
      <c r="Q561" s="288">
        <f t="shared" si="25"/>
        <v>0</v>
      </c>
      <c r="R561" s="118">
        <v>0</v>
      </c>
      <c r="S561" s="283">
        <v>2016</v>
      </c>
      <c r="T561" s="288">
        <f t="shared" si="26"/>
        <v>83207</v>
      </c>
    </row>
    <row r="562" spans="2:20">
      <c r="B562" s="386" t="s">
        <v>667</v>
      </c>
      <c r="C562" s="114"/>
      <c r="D562" s="111" t="s">
        <v>1546</v>
      </c>
      <c r="E562" s="111" t="s">
        <v>1741</v>
      </c>
      <c r="F562" s="111"/>
      <c r="G562" s="110" t="s">
        <v>2073</v>
      </c>
      <c r="H562" s="141">
        <v>38.736969000000002</v>
      </c>
      <c r="I562" s="280"/>
      <c r="J562" s="72">
        <v>148.52000000000001</v>
      </c>
      <c r="K562" s="271">
        <f t="shared" si="24"/>
        <v>5753.214635880001</v>
      </c>
      <c r="L562" s="111"/>
      <c r="M562" s="73"/>
      <c r="N562" s="112"/>
      <c r="O562" s="111"/>
      <c r="P562" s="312">
        <v>2490.6342199999999</v>
      </c>
      <c r="Q562" s="288">
        <f t="shared" si="25"/>
        <v>10</v>
      </c>
      <c r="R562" s="118">
        <v>24906.342199999999</v>
      </c>
      <c r="S562" s="283">
        <v>2016</v>
      </c>
      <c r="T562" s="288">
        <f t="shared" si="26"/>
        <v>33266</v>
      </c>
    </row>
    <row r="563" spans="2:20">
      <c r="B563" s="386" t="s">
        <v>668</v>
      </c>
      <c r="C563" s="114"/>
      <c r="D563" s="111" t="s">
        <v>1546</v>
      </c>
      <c r="E563" s="111" t="s">
        <v>1741</v>
      </c>
      <c r="F563" s="111"/>
      <c r="G563" s="110" t="s">
        <v>2073</v>
      </c>
      <c r="H563" s="141">
        <v>627.76566200000002</v>
      </c>
      <c r="I563" s="280"/>
      <c r="J563" s="72">
        <v>148.52000000000001</v>
      </c>
      <c r="K563" s="271">
        <f t="shared" si="24"/>
        <v>93235.75612024001</v>
      </c>
      <c r="L563" s="111"/>
      <c r="M563" s="73"/>
      <c r="N563" s="112"/>
      <c r="O563" s="111"/>
      <c r="P563" s="312">
        <v>0</v>
      </c>
      <c r="Q563" s="288">
        <f t="shared" si="25"/>
        <v>0</v>
      </c>
      <c r="R563" s="118">
        <v>0</v>
      </c>
      <c r="S563" s="283">
        <v>2016</v>
      </c>
      <c r="T563" s="288">
        <f t="shared" si="26"/>
        <v>101029</v>
      </c>
    </row>
    <row r="564" spans="2:20">
      <c r="B564" s="386" t="s">
        <v>669</v>
      </c>
      <c r="C564" s="114"/>
      <c r="D564" s="111" t="s">
        <v>1546</v>
      </c>
      <c r="E564" s="111" t="s">
        <v>1741</v>
      </c>
      <c r="F564" s="111"/>
      <c r="G564" s="110" t="s">
        <v>2073</v>
      </c>
      <c r="H564" s="141">
        <v>842.90439700000002</v>
      </c>
      <c r="I564" s="280"/>
      <c r="J564" s="72">
        <v>148.52000000000001</v>
      </c>
      <c r="K564" s="271">
        <f t="shared" si="24"/>
        <v>125188.16104244001</v>
      </c>
      <c r="L564" s="111"/>
      <c r="M564" s="73"/>
      <c r="N564" s="112"/>
      <c r="O564" s="111"/>
      <c r="P564" s="312">
        <v>0</v>
      </c>
      <c r="Q564" s="288">
        <f t="shared" si="25"/>
        <v>0</v>
      </c>
      <c r="R564" s="118">
        <v>0</v>
      </c>
      <c r="S564" s="283">
        <v>2016</v>
      </c>
      <c r="T564" s="288">
        <f t="shared" si="26"/>
        <v>135653</v>
      </c>
    </row>
    <row r="565" spans="2:20">
      <c r="B565" s="386" t="s">
        <v>670</v>
      </c>
      <c r="C565" s="114"/>
      <c r="D565" s="111" t="s">
        <v>1546</v>
      </c>
      <c r="E565" s="111" t="s">
        <v>1741</v>
      </c>
      <c r="F565" s="111"/>
      <c r="G565" s="110" t="s">
        <v>2073</v>
      </c>
      <c r="H565" s="141">
        <v>364.90136799999999</v>
      </c>
      <c r="I565" s="280"/>
      <c r="J565" s="72">
        <v>148.52000000000001</v>
      </c>
      <c r="K565" s="271">
        <f t="shared" si="24"/>
        <v>54195.151175359999</v>
      </c>
      <c r="L565" s="111"/>
      <c r="M565" s="73"/>
      <c r="N565" s="112"/>
      <c r="O565" s="111"/>
      <c r="P565" s="312">
        <v>0</v>
      </c>
      <c r="Q565" s="288">
        <f t="shared" si="25"/>
        <v>0</v>
      </c>
      <c r="R565" s="118">
        <v>0</v>
      </c>
      <c r="S565" s="283">
        <v>2016</v>
      </c>
      <c r="T565" s="288">
        <f t="shared" si="26"/>
        <v>58725</v>
      </c>
    </row>
    <row r="566" spans="2:20">
      <c r="B566" s="386" t="s">
        <v>671</v>
      </c>
      <c r="C566" s="114"/>
      <c r="D566" s="111" t="s">
        <v>1546</v>
      </c>
      <c r="E566" s="111" t="s">
        <v>1741</v>
      </c>
      <c r="F566" s="111"/>
      <c r="G566" s="110" t="s">
        <v>2073</v>
      </c>
      <c r="H566" s="141">
        <v>113.953</v>
      </c>
      <c r="I566" s="280"/>
      <c r="J566" s="72">
        <v>148.52000000000001</v>
      </c>
      <c r="K566" s="271">
        <f t="shared" si="24"/>
        <v>16924.299560000003</v>
      </c>
      <c r="L566" s="111"/>
      <c r="M566" s="73"/>
      <c r="N566" s="112"/>
      <c r="O566" s="111"/>
      <c r="P566" s="312">
        <v>0</v>
      </c>
      <c r="Q566" s="288">
        <f t="shared" si="25"/>
        <v>0</v>
      </c>
      <c r="R566" s="118">
        <v>0</v>
      </c>
      <c r="S566" s="283">
        <v>2016</v>
      </c>
      <c r="T566" s="288">
        <f t="shared" si="26"/>
        <v>18339</v>
      </c>
    </row>
    <row r="567" spans="2:20">
      <c r="B567" s="386" t="s">
        <v>672</v>
      </c>
      <c r="C567" s="114"/>
      <c r="D567" s="111" t="s">
        <v>1546</v>
      </c>
      <c r="E567" s="111" t="s">
        <v>1741</v>
      </c>
      <c r="F567" s="111"/>
      <c r="G567" s="110" t="s">
        <v>2073</v>
      </c>
      <c r="H567" s="141">
        <v>31.680173</v>
      </c>
      <c r="I567" s="280"/>
      <c r="J567" s="72">
        <v>148.52000000000001</v>
      </c>
      <c r="K567" s="271">
        <f t="shared" si="24"/>
        <v>4705.13929396</v>
      </c>
      <c r="L567" s="111"/>
      <c r="M567" s="73"/>
      <c r="N567" s="112"/>
      <c r="O567" s="111"/>
      <c r="P567" s="312">
        <v>0</v>
      </c>
      <c r="Q567" s="288">
        <f t="shared" si="25"/>
        <v>0</v>
      </c>
      <c r="R567" s="118">
        <v>0</v>
      </c>
      <c r="S567" s="283">
        <v>2016</v>
      </c>
      <c r="T567" s="288">
        <f t="shared" si="26"/>
        <v>5098</v>
      </c>
    </row>
    <row r="568" spans="2:20">
      <c r="B568" s="386" t="s">
        <v>673</v>
      </c>
      <c r="C568" s="114"/>
      <c r="D568" s="111" t="s">
        <v>1546</v>
      </c>
      <c r="E568" s="111" t="s">
        <v>1741</v>
      </c>
      <c r="F568" s="111"/>
      <c r="G568" s="110" t="s">
        <v>2073</v>
      </c>
      <c r="H568" s="141">
        <v>74.474423000000002</v>
      </c>
      <c r="I568" s="280"/>
      <c r="J568" s="72">
        <v>148.52000000000001</v>
      </c>
      <c r="K568" s="271">
        <f t="shared" si="24"/>
        <v>11060.94130396</v>
      </c>
      <c r="L568" s="111"/>
      <c r="M568" s="73"/>
      <c r="N568" s="112"/>
      <c r="O568" s="111"/>
      <c r="P568" s="312">
        <v>0</v>
      </c>
      <c r="Q568" s="288">
        <f t="shared" si="25"/>
        <v>0</v>
      </c>
      <c r="R568" s="118">
        <v>0</v>
      </c>
      <c r="S568" s="283">
        <v>2016</v>
      </c>
      <c r="T568" s="288">
        <f t="shared" si="26"/>
        <v>11986</v>
      </c>
    </row>
    <row r="569" spans="2:20">
      <c r="B569" s="386" t="s">
        <v>674</v>
      </c>
      <c r="C569" s="114"/>
      <c r="D569" s="111" t="s">
        <v>1546</v>
      </c>
      <c r="E569" s="111" t="s">
        <v>1741</v>
      </c>
      <c r="F569" s="111"/>
      <c r="G569" s="110" t="s">
        <v>2073</v>
      </c>
      <c r="H569" s="141">
        <v>53.653323</v>
      </c>
      <c r="I569" s="280"/>
      <c r="J569" s="72">
        <v>148.52000000000001</v>
      </c>
      <c r="K569" s="271">
        <f t="shared" si="24"/>
        <v>7968.5915319600008</v>
      </c>
      <c r="L569" s="111"/>
      <c r="M569" s="73"/>
      <c r="N569" s="112"/>
      <c r="O569" s="111"/>
      <c r="P569" s="312">
        <v>0</v>
      </c>
      <c r="Q569" s="288">
        <f t="shared" si="25"/>
        <v>0</v>
      </c>
      <c r="R569" s="118">
        <v>0</v>
      </c>
      <c r="S569" s="283">
        <v>2016</v>
      </c>
      <c r="T569" s="288">
        <f t="shared" si="26"/>
        <v>8635</v>
      </c>
    </row>
    <row r="570" spans="2:20">
      <c r="B570" s="386" t="s">
        <v>675</v>
      </c>
      <c r="C570" s="114"/>
      <c r="D570" s="111" t="s">
        <v>1546</v>
      </c>
      <c r="E570" s="111" t="s">
        <v>1741</v>
      </c>
      <c r="F570" s="111"/>
      <c r="G570" s="110" t="s">
        <v>2073</v>
      </c>
      <c r="H570" s="141">
        <v>446.13728200000003</v>
      </c>
      <c r="I570" s="280"/>
      <c r="J570" s="72">
        <v>148.52000000000001</v>
      </c>
      <c r="K570" s="271">
        <f t="shared" si="24"/>
        <v>66260.309122640014</v>
      </c>
      <c r="L570" s="111"/>
      <c r="M570" s="73"/>
      <c r="N570" s="112"/>
      <c r="O570" s="111"/>
      <c r="P570" s="312">
        <v>0</v>
      </c>
      <c r="Q570" s="288">
        <f t="shared" si="25"/>
        <v>0</v>
      </c>
      <c r="R570" s="118">
        <v>0</v>
      </c>
      <c r="S570" s="283">
        <v>2016</v>
      </c>
      <c r="T570" s="288">
        <f t="shared" si="26"/>
        <v>71799</v>
      </c>
    </row>
    <row r="571" spans="2:20">
      <c r="B571" s="386" t="s">
        <v>676</v>
      </c>
      <c r="C571" s="114"/>
      <c r="D571" s="111" t="s">
        <v>1546</v>
      </c>
      <c r="E571" s="111" t="s">
        <v>1741</v>
      </c>
      <c r="F571" s="111"/>
      <c r="G571" s="110" t="s">
        <v>2073</v>
      </c>
      <c r="H571" s="141">
        <v>37.346482999999999</v>
      </c>
      <c r="I571" s="280"/>
      <c r="J571" s="72">
        <v>148.52000000000001</v>
      </c>
      <c r="K571" s="271">
        <f t="shared" si="24"/>
        <v>5546.6996551600005</v>
      </c>
      <c r="L571" s="111"/>
      <c r="M571" s="73"/>
      <c r="N571" s="112"/>
      <c r="O571" s="111"/>
      <c r="P571" s="312">
        <v>0</v>
      </c>
      <c r="Q571" s="288">
        <f t="shared" si="25"/>
        <v>0</v>
      </c>
      <c r="R571" s="118">
        <v>0</v>
      </c>
      <c r="S571" s="283">
        <v>2016</v>
      </c>
      <c r="T571" s="288">
        <f t="shared" si="26"/>
        <v>6010</v>
      </c>
    </row>
    <row r="572" spans="2:20">
      <c r="B572" s="386" t="s">
        <v>677</v>
      </c>
      <c r="C572" s="114"/>
      <c r="D572" s="111" t="s">
        <v>1546</v>
      </c>
      <c r="E572" s="111" t="s">
        <v>1741</v>
      </c>
      <c r="F572" s="111"/>
      <c r="G572" s="110" t="s">
        <v>2073</v>
      </c>
      <c r="H572" s="141">
        <v>70.201888999999994</v>
      </c>
      <c r="I572" s="280"/>
      <c r="J572" s="72">
        <v>148.52000000000001</v>
      </c>
      <c r="K572" s="271">
        <f t="shared" ref="K572:K628" si="27">J572*H572</f>
        <v>10426.384554279999</v>
      </c>
      <c r="L572" s="111"/>
      <c r="M572" s="73"/>
      <c r="N572" s="112"/>
      <c r="O572" s="111"/>
      <c r="P572" s="312">
        <v>0</v>
      </c>
      <c r="Q572" s="288">
        <f t="shared" ref="Q572:Q628" si="28">IFERROR(R572/P572,0)</f>
        <v>0</v>
      </c>
      <c r="R572" s="118">
        <v>0</v>
      </c>
      <c r="S572" s="283">
        <v>2016</v>
      </c>
      <c r="T572" s="288">
        <f t="shared" si="26"/>
        <v>11298</v>
      </c>
    </row>
    <row r="573" spans="2:20">
      <c r="B573" s="386" t="s">
        <v>678</v>
      </c>
      <c r="C573" s="114"/>
      <c r="D573" s="111" t="s">
        <v>1546</v>
      </c>
      <c r="E573" s="111" t="s">
        <v>1741</v>
      </c>
      <c r="F573" s="111"/>
      <c r="G573" s="110" t="s">
        <v>2073</v>
      </c>
      <c r="H573" s="141">
        <v>125.802635</v>
      </c>
      <c r="I573" s="280"/>
      <c r="J573" s="72">
        <v>148.52000000000001</v>
      </c>
      <c r="K573" s="271">
        <f t="shared" si="27"/>
        <v>18684.207350200002</v>
      </c>
      <c r="L573" s="111"/>
      <c r="M573" s="73"/>
      <c r="N573" s="112"/>
      <c r="O573" s="111"/>
      <c r="P573" s="312">
        <v>0</v>
      </c>
      <c r="Q573" s="288">
        <f t="shared" si="28"/>
        <v>0</v>
      </c>
      <c r="R573" s="118">
        <v>0</v>
      </c>
      <c r="S573" s="283">
        <v>2016</v>
      </c>
      <c r="T573" s="288">
        <f t="shared" si="26"/>
        <v>20246</v>
      </c>
    </row>
    <row r="574" spans="2:20">
      <c r="B574" s="386" t="s">
        <v>679</v>
      </c>
      <c r="C574" s="114"/>
      <c r="D574" s="111" t="s">
        <v>1546</v>
      </c>
      <c r="E574" s="111" t="s">
        <v>1742</v>
      </c>
      <c r="F574" s="111"/>
      <c r="G574" s="110" t="s">
        <v>2073</v>
      </c>
      <c r="H574" s="141">
        <v>146.75106500000001</v>
      </c>
      <c r="I574" s="280"/>
      <c r="J574" s="72">
        <v>148.52000000000001</v>
      </c>
      <c r="K574" s="271">
        <f t="shared" si="27"/>
        <v>21795.468173800004</v>
      </c>
      <c r="L574" s="111"/>
      <c r="M574" s="73"/>
      <c r="N574" s="112"/>
      <c r="O574" s="111"/>
      <c r="P574" s="312">
        <v>0</v>
      </c>
      <c r="Q574" s="288">
        <f t="shared" si="28"/>
        <v>0</v>
      </c>
      <c r="R574" s="118">
        <v>0</v>
      </c>
      <c r="S574" s="283">
        <v>2016</v>
      </c>
      <c r="T574" s="288">
        <f t="shared" si="26"/>
        <v>23617</v>
      </c>
    </row>
    <row r="575" spans="2:20">
      <c r="B575" s="386" t="s">
        <v>680</v>
      </c>
      <c r="C575" s="114"/>
      <c r="D575" s="111" t="s">
        <v>1546</v>
      </c>
      <c r="E575" s="111" t="s">
        <v>1742</v>
      </c>
      <c r="F575" s="111"/>
      <c r="G575" s="110" t="s">
        <v>2073</v>
      </c>
      <c r="H575" s="141">
        <v>56.893059000000001</v>
      </c>
      <c r="I575" s="280"/>
      <c r="J575" s="72">
        <v>148.52000000000001</v>
      </c>
      <c r="K575" s="271">
        <f t="shared" si="27"/>
        <v>8449.757122680001</v>
      </c>
      <c r="L575" s="111"/>
      <c r="M575" s="73"/>
      <c r="N575" s="112"/>
      <c r="O575" s="111"/>
      <c r="P575" s="312">
        <v>0</v>
      </c>
      <c r="Q575" s="288">
        <f t="shared" si="28"/>
        <v>0</v>
      </c>
      <c r="R575" s="118">
        <v>0</v>
      </c>
      <c r="S575" s="283">
        <v>2016</v>
      </c>
      <c r="T575" s="288">
        <f t="shared" si="26"/>
        <v>9156</v>
      </c>
    </row>
    <row r="576" spans="2:20">
      <c r="B576" s="386" t="s">
        <v>681</v>
      </c>
      <c r="C576" s="114"/>
      <c r="D576" s="111" t="s">
        <v>1546</v>
      </c>
      <c r="E576" s="111" t="s">
        <v>1620</v>
      </c>
      <c r="F576" s="111"/>
      <c r="G576" s="110" t="s">
        <v>2073</v>
      </c>
      <c r="H576" s="141">
        <v>807.59038199999998</v>
      </c>
      <c r="I576" s="280"/>
      <c r="J576" s="72">
        <v>148.52000000000001</v>
      </c>
      <c r="K576" s="271">
        <f t="shared" si="27"/>
        <v>119943.32353464</v>
      </c>
      <c r="L576" s="111"/>
      <c r="M576" s="73"/>
      <c r="N576" s="112"/>
      <c r="O576" s="111"/>
      <c r="P576" s="312">
        <v>0</v>
      </c>
      <c r="Q576" s="288">
        <f t="shared" si="28"/>
        <v>0</v>
      </c>
      <c r="R576" s="118">
        <v>0</v>
      </c>
      <c r="S576" s="283">
        <v>2016</v>
      </c>
      <c r="T576" s="288">
        <f t="shared" si="26"/>
        <v>129969</v>
      </c>
    </row>
    <row r="577" spans="2:20">
      <c r="B577" s="386" t="s">
        <v>682</v>
      </c>
      <c r="C577" s="114"/>
      <c r="D577" s="111" t="s">
        <v>1546</v>
      </c>
      <c r="E577" s="111" t="s">
        <v>1620</v>
      </c>
      <c r="F577" s="111"/>
      <c r="G577" s="110" t="s">
        <v>2073</v>
      </c>
      <c r="H577" s="141">
        <v>409.153167</v>
      </c>
      <c r="I577" s="280"/>
      <c r="J577" s="72">
        <v>148.52000000000001</v>
      </c>
      <c r="K577" s="271">
        <f t="shared" si="27"/>
        <v>60767.428362840001</v>
      </c>
      <c r="L577" s="111"/>
      <c r="M577" s="73"/>
      <c r="N577" s="112"/>
      <c r="O577" s="111"/>
      <c r="P577" s="312">
        <v>0</v>
      </c>
      <c r="Q577" s="288">
        <f t="shared" si="28"/>
        <v>0</v>
      </c>
      <c r="R577" s="118">
        <v>0</v>
      </c>
      <c r="S577" s="283">
        <v>2016</v>
      </c>
      <c r="T577" s="288">
        <f t="shared" si="26"/>
        <v>65847</v>
      </c>
    </row>
    <row r="578" spans="2:20">
      <c r="B578" s="386" t="s">
        <v>683</v>
      </c>
      <c r="C578" s="114"/>
      <c r="D578" s="111" t="s">
        <v>1546</v>
      </c>
      <c r="E578" s="111" t="s">
        <v>1743</v>
      </c>
      <c r="F578" s="111"/>
      <c r="G578" s="110" t="s">
        <v>2073</v>
      </c>
      <c r="H578" s="141">
        <v>123.975014</v>
      </c>
      <c r="I578" s="280"/>
      <c r="J578" s="72">
        <v>148.52000000000001</v>
      </c>
      <c r="K578" s="271">
        <f t="shared" si="27"/>
        <v>18412.769079280002</v>
      </c>
      <c r="L578" s="111"/>
      <c r="M578" s="73"/>
      <c r="N578" s="112"/>
      <c r="O578" s="111"/>
      <c r="P578" s="312">
        <v>0</v>
      </c>
      <c r="Q578" s="288">
        <f t="shared" si="28"/>
        <v>0</v>
      </c>
      <c r="R578" s="118">
        <v>0</v>
      </c>
      <c r="S578" s="283">
        <v>2016</v>
      </c>
      <c r="T578" s="288">
        <f t="shared" si="26"/>
        <v>19952</v>
      </c>
    </row>
    <row r="579" spans="2:20">
      <c r="B579" s="386" t="s">
        <v>684</v>
      </c>
      <c r="C579" s="114"/>
      <c r="D579" s="111" t="s">
        <v>1546</v>
      </c>
      <c r="E579" s="111" t="s">
        <v>1743</v>
      </c>
      <c r="F579" s="111"/>
      <c r="G579" s="110" t="s">
        <v>2073</v>
      </c>
      <c r="H579" s="141">
        <v>84.962473000000003</v>
      </c>
      <c r="I579" s="280"/>
      <c r="J579" s="72">
        <v>148.52000000000001</v>
      </c>
      <c r="K579" s="271">
        <f t="shared" si="27"/>
        <v>12618.626489960001</v>
      </c>
      <c r="L579" s="111"/>
      <c r="M579" s="73"/>
      <c r="N579" s="112"/>
      <c r="O579" s="111"/>
      <c r="P579" s="312">
        <v>0</v>
      </c>
      <c r="Q579" s="288">
        <f t="shared" si="28"/>
        <v>0</v>
      </c>
      <c r="R579" s="118">
        <v>0</v>
      </c>
      <c r="S579" s="283">
        <v>2016</v>
      </c>
      <c r="T579" s="288">
        <f t="shared" si="26"/>
        <v>13673</v>
      </c>
    </row>
    <row r="580" spans="2:20">
      <c r="B580" s="386" t="s">
        <v>685</v>
      </c>
      <c r="C580" s="114"/>
      <c r="D580" s="111" t="s">
        <v>1546</v>
      </c>
      <c r="E580" s="111" t="s">
        <v>1743</v>
      </c>
      <c r="F580" s="111"/>
      <c r="G580" s="110" t="s">
        <v>2073</v>
      </c>
      <c r="H580" s="141">
        <v>553.31148800000005</v>
      </c>
      <c r="I580" s="280"/>
      <c r="J580" s="72">
        <v>148.52000000000001</v>
      </c>
      <c r="K580" s="271">
        <f t="shared" si="27"/>
        <v>82177.822197760019</v>
      </c>
      <c r="L580" s="111"/>
      <c r="M580" s="73"/>
      <c r="N580" s="112"/>
      <c r="O580" s="111"/>
      <c r="P580" s="312">
        <v>0</v>
      </c>
      <c r="Q580" s="288">
        <f t="shared" si="28"/>
        <v>0</v>
      </c>
      <c r="R580" s="118">
        <v>0</v>
      </c>
      <c r="S580" s="283">
        <v>2016</v>
      </c>
      <c r="T580" s="288">
        <f t="shared" si="26"/>
        <v>89047</v>
      </c>
    </row>
    <row r="581" spans="2:20">
      <c r="B581" s="386" t="s">
        <v>686</v>
      </c>
      <c r="C581" s="114"/>
      <c r="D581" s="111" t="s">
        <v>1546</v>
      </c>
      <c r="E581" s="111" t="s">
        <v>1743</v>
      </c>
      <c r="F581" s="111"/>
      <c r="G581" s="110" t="s">
        <v>2073</v>
      </c>
      <c r="H581" s="141">
        <v>263.98986300000001</v>
      </c>
      <c r="I581" s="280"/>
      <c r="J581" s="72">
        <v>148.52000000000001</v>
      </c>
      <c r="K581" s="271">
        <f t="shared" si="27"/>
        <v>39207.774452760008</v>
      </c>
      <c r="L581" s="111"/>
      <c r="M581" s="73"/>
      <c r="N581" s="112"/>
      <c r="O581" s="111"/>
      <c r="P581" s="312">
        <v>0</v>
      </c>
      <c r="Q581" s="288">
        <f t="shared" si="28"/>
        <v>0</v>
      </c>
      <c r="R581" s="118">
        <v>0</v>
      </c>
      <c r="S581" s="283">
        <v>2016</v>
      </c>
      <c r="T581" s="288">
        <f t="shared" si="26"/>
        <v>42485</v>
      </c>
    </row>
    <row r="582" spans="2:20">
      <c r="B582" s="386" t="s">
        <v>687</v>
      </c>
      <c r="C582" s="114"/>
      <c r="D582" s="111" t="s">
        <v>1546</v>
      </c>
      <c r="E582" s="111" t="s">
        <v>1743</v>
      </c>
      <c r="F582" s="111"/>
      <c r="G582" s="110" t="s">
        <v>2073</v>
      </c>
      <c r="H582" s="141">
        <v>41.615046</v>
      </c>
      <c r="I582" s="280"/>
      <c r="J582" s="72">
        <v>148.52000000000001</v>
      </c>
      <c r="K582" s="271">
        <f t="shared" si="27"/>
        <v>6180.6666319200003</v>
      </c>
      <c r="L582" s="111"/>
      <c r="M582" s="73"/>
      <c r="N582" s="112"/>
      <c r="O582" s="111"/>
      <c r="P582" s="312">
        <v>0</v>
      </c>
      <c r="Q582" s="288">
        <f t="shared" si="28"/>
        <v>0</v>
      </c>
      <c r="R582" s="118">
        <v>0</v>
      </c>
      <c r="S582" s="283">
        <v>2016</v>
      </c>
      <c r="T582" s="288">
        <f t="shared" si="26"/>
        <v>6697</v>
      </c>
    </row>
    <row r="583" spans="2:20">
      <c r="B583" s="386" t="s">
        <v>688</v>
      </c>
      <c r="C583" s="114"/>
      <c r="D583" s="111" t="s">
        <v>1546</v>
      </c>
      <c r="E583" s="111" t="s">
        <v>1743</v>
      </c>
      <c r="F583" s="111"/>
      <c r="G583" s="110" t="s">
        <v>2073</v>
      </c>
      <c r="H583" s="141">
        <v>83.704250000000002</v>
      </c>
      <c r="I583" s="280"/>
      <c r="J583" s="72">
        <v>148.52000000000001</v>
      </c>
      <c r="K583" s="271">
        <f t="shared" si="27"/>
        <v>12431.755210000001</v>
      </c>
      <c r="L583" s="111"/>
      <c r="M583" s="73"/>
      <c r="N583" s="112"/>
      <c r="O583" s="111"/>
      <c r="P583" s="312">
        <v>0</v>
      </c>
      <c r="Q583" s="288">
        <f t="shared" si="28"/>
        <v>0</v>
      </c>
      <c r="R583" s="118">
        <v>0</v>
      </c>
      <c r="S583" s="283">
        <v>2016</v>
      </c>
      <c r="T583" s="288">
        <f t="shared" si="26"/>
        <v>13471</v>
      </c>
    </row>
    <row r="584" spans="2:20">
      <c r="B584" s="386" t="s">
        <v>689</v>
      </c>
      <c r="C584" s="114"/>
      <c r="D584" s="111" t="s">
        <v>1547</v>
      </c>
      <c r="E584" s="111" t="s">
        <v>1743</v>
      </c>
      <c r="F584" s="111"/>
      <c r="G584" s="110" t="s">
        <v>2073</v>
      </c>
      <c r="H584" s="141">
        <v>657.54497000000003</v>
      </c>
      <c r="I584" s="280"/>
      <c r="J584" s="72">
        <v>148.52000000000001</v>
      </c>
      <c r="K584" s="271">
        <f t="shared" si="27"/>
        <v>97658.578944400011</v>
      </c>
      <c r="L584" s="111"/>
      <c r="M584" s="73"/>
      <c r="N584" s="112"/>
      <c r="O584" s="111"/>
      <c r="P584" s="312">
        <v>0</v>
      </c>
      <c r="Q584" s="288">
        <f t="shared" si="28"/>
        <v>0</v>
      </c>
      <c r="R584" s="118">
        <v>0</v>
      </c>
      <c r="S584" s="283">
        <v>2016</v>
      </c>
      <c r="T584" s="288">
        <f t="shared" si="26"/>
        <v>105822</v>
      </c>
    </row>
    <row r="585" spans="2:20">
      <c r="B585" s="386" t="s">
        <v>690</v>
      </c>
      <c r="C585" s="114"/>
      <c r="D585" s="111" t="s">
        <v>1547</v>
      </c>
      <c r="E585" s="111" t="s">
        <v>1743</v>
      </c>
      <c r="F585" s="111"/>
      <c r="G585" s="110" t="s">
        <v>2073</v>
      </c>
      <c r="H585" s="141">
        <v>363.91437300000001</v>
      </c>
      <c r="I585" s="280"/>
      <c r="J585" s="72">
        <v>148.52000000000001</v>
      </c>
      <c r="K585" s="271">
        <f t="shared" si="27"/>
        <v>54048.562677960006</v>
      </c>
      <c r="L585" s="111"/>
      <c r="M585" s="73"/>
      <c r="N585" s="112"/>
      <c r="O585" s="111"/>
      <c r="P585" s="312">
        <v>0</v>
      </c>
      <c r="Q585" s="288">
        <f t="shared" si="28"/>
        <v>0</v>
      </c>
      <c r="R585" s="118">
        <v>0</v>
      </c>
      <c r="S585" s="283">
        <v>2016</v>
      </c>
      <c r="T585" s="288">
        <f t="shared" si="26"/>
        <v>58566</v>
      </c>
    </row>
    <row r="586" spans="2:20">
      <c r="B586" s="386" t="s">
        <v>691</v>
      </c>
      <c r="C586" s="114"/>
      <c r="D586" s="111" t="s">
        <v>1547</v>
      </c>
      <c r="E586" s="111" t="s">
        <v>1743</v>
      </c>
      <c r="F586" s="111"/>
      <c r="G586" s="110" t="s">
        <v>2073</v>
      </c>
      <c r="H586" s="141">
        <v>406.02141799999998</v>
      </c>
      <c r="I586" s="280"/>
      <c r="J586" s="72">
        <v>148.52000000000001</v>
      </c>
      <c r="K586" s="271">
        <f t="shared" si="27"/>
        <v>60302.30100136</v>
      </c>
      <c r="L586" s="111"/>
      <c r="M586" s="73"/>
      <c r="N586" s="112"/>
      <c r="O586" s="111"/>
      <c r="P586" s="312">
        <v>0</v>
      </c>
      <c r="Q586" s="288">
        <f t="shared" si="28"/>
        <v>0</v>
      </c>
      <c r="R586" s="118">
        <v>0</v>
      </c>
      <c r="S586" s="283">
        <v>2016</v>
      </c>
      <c r="T586" s="288">
        <f t="shared" si="26"/>
        <v>65343</v>
      </c>
    </row>
    <row r="587" spans="2:20">
      <c r="B587" s="386" t="s">
        <v>692</v>
      </c>
      <c r="C587" s="114"/>
      <c r="D587" s="111" t="s">
        <v>1547</v>
      </c>
      <c r="E587" s="111" t="s">
        <v>1743</v>
      </c>
      <c r="F587" s="111"/>
      <c r="G587" s="110" t="s">
        <v>2073</v>
      </c>
      <c r="H587" s="141">
        <v>273.57872200000003</v>
      </c>
      <c r="I587" s="280"/>
      <c r="J587" s="72">
        <v>148.52000000000001</v>
      </c>
      <c r="K587" s="271">
        <f t="shared" si="27"/>
        <v>40631.911791440005</v>
      </c>
      <c r="L587" s="111"/>
      <c r="M587" s="73"/>
      <c r="N587" s="112"/>
      <c r="O587" s="111"/>
      <c r="P587" s="312">
        <v>0</v>
      </c>
      <c r="Q587" s="288">
        <f t="shared" si="28"/>
        <v>0</v>
      </c>
      <c r="R587" s="118">
        <v>0</v>
      </c>
      <c r="S587" s="283">
        <v>2016</v>
      </c>
      <c r="T587" s="288">
        <f t="shared" si="26"/>
        <v>44028</v>
      </c>
    </row>
    <row r="588" spans="2:20">
      <c r="B588" s="386" t="s">
        <v>693</v>
      </c>
      <c r="C588" s="114"/>
      <c r="D588" s="111" t="s">
        <v>1547</v>
      </c>
      <c r="E588" s="111" t="s">
        <v>1743</v>
      </c>
      <c r="F588" s="111"/>
      <c r="G588" s="110" t="s">
        <v>2073</v>
      </c>
      <c r="H588" s="141">
        <v>753.62021700000003</v>
      </c>
      <c r="I588" s="280"/>
      <c r="J588" s="72">
        <v>148.52000000000001</v>
      </c>
      <c r="K588" s="271">
        <f t="shared" si="27"/>
        <v>111927.67462884002</v>
      </c>
      <c r="L588" s="111"/>
      <c r="M588" s="73"/>
      <c r="N588" s="112"/>
      <c r="O588" s="111"/>
      <c r="P588" s="312">
        <v>0</v>
      </c>
      <c r="Q588" s="288">
        <f t="shared" si="28"/>
        <v>0</v>
      </c>
      <c r="R588" s="118">
        <v>0</v>
      </c>
      <c r="S588" s="283">
        <v>2016</v>
      </c>
      <c r="T588" s="288">
        <f t="shared" si="26"/>
        <v>121284</v>
      </c>
    </row>
    <row r="589" spans="2:20">
      <c r="B589" s="386" t="s">
        <v>694</v>
      </c>
      <c r="C589" s="114"/>
      <c r="D589" s="111" t="s">
        <v>1547</v>
      </c>
      <c r="E589" s="111" t="s">
        <v>1743</v>
      </c>
      <c r="F589" s="111"/>
      <c r="G589" s="110" t="s">
        <v>2073</v>
      </c>
      <c r="H589" s="141">
        <v>893.893238</v>
      </c>
      <c r="I589" s="280"/>
      <c r="J589" s="72">
        <v>148.52000000000001</v>
      </c>
      <c r="K589" s="271">
        <f t="shared" si="27"/>
        <v>132761.02370776</v>
      </c>
      <c r="L589" s="111"/>
      <c r="M589" s="73"/>
      <c r="N589" s="112"/>
      <c r="O589" s="111"/>
      <c r="P589" s="312">
        <v>0</v>
      </c>
      <c r="Q589" s="288">
        <f t="shared" si="28"/>
        <v>0</v>
      </c>
      <c r="R589" s="118">
        <v>0</v>
      </c>
      <c r="S589" s="283">
        <v>2016</v>
      </c>
      <c r="T589" s="288">
        <f t="shared" ref="T589:T652" si="29">IFERROR(ROUND((K589*(1+PPI_Existing)^(YEAR-S589))+(R589*((1+LandInd_Existing)^(YEAR-S589))),0),0)</f>
        <v>143858</v>
      </c>
    </row>
    <row r="590" spans="2:20">
      <c r="B590" s="386" t="s">
        <v>695</v>
      </c>
      <c r="C590" s="114"/>
      <c r="D590" s="111" t="s">
        <v>1546</v>
      </c>
      <c r="E590" s="111" t="s">
        <v>1744</v>
      </c>
      <c r="F590" s="111"/>
      <c r="G590" s="110" t="s">
        <v>2073</v>
      </c>
      <c r="H590" s="141">
        <v>895.83400400000005</v>
      </c>
      <c r="I590" s="280"/>
      <c r="J590" s="72">
        <v>148.52000000000001</v>
      </c>
      <c r="K590" s="271">
        <f t="shared" si="27"/>
        <v>133049.26627408003</v>
      </c>
      <c r="L590" s="111"/>
      <c r="M590" s="73"/>
      <c r="N590" s="112"/>
      <c r="O590" s="111"/>
      <c r="P590" s="312">
        <v>103.761101</v>
      </c>
      <c r="Q590" s="288">
        <f t="shared" si="28"/>
        <v>10.000000000000002</v>
      </c>
      <c r="R590" s="118">
        <v>1037.6110100000001</v>
      </c>
      <c r="S590" s="283">
        <v>2016</v>
      </c>
      <c r="T590" s="288">
        <f t="shared" si="29"/>
        <v>145297</v>
      </c>
    </row>
    <row r="591" spans="2:20">
      <c r="B591" s="386" t="s">
        <v>696</v>
      </c>
      <c r="C591" s="114"/>
      <c r="D591" s="111" t="s">
        <v>1546</v>
      </c>
      <c r="E591" s="111" t="s">
        <v>1745</v>
      </c>
      <c r="F591" s="111"/>
      <c r="G591" s="110" t="s">
        <v>2073</v>
      </c>
      <c r="H591" s="141">
        <v>254.752511</v>
      </c>
      <c r="I591" s="280"/>
      <c r="J591" s="72">
        <v>148.52000000000001</v>
      </c>
      <c r="K591" s="271">
        <f t="shared" si="27"/>
        <v>37835.84293372</v>
      </c>
      <c r="L591" s="111"/>
      <c r="M591" s="73"/>
      <c r="N591" s="112"/>
      <c r="O591" s="111"/>
      <c r="P591" s="312">
        <v>0</v>
      </c>
      <c r="Q591" s="288">
        <f t="shared" si="28"/>
        <v>0</v>
      </c>
      <c r="R591" s="118">
        <v>0</v>
      </c>
      <c r="S591" s="283">
        <v>2016</v>
      </c>
      <c r="T591" s="288">
        <f t="shared" si="29"/>
        <v>40999</v>
      </c>
    </row>
    <row r="592" spans="2:20">
      <c r="B592" s="386" t="s">
        <v>697</v>
      </c>
      <c r="C592" s="114"/>
      <c r="D592" s="111" t="s">
        <v>1546</v>
      </c>
      <c r="E592" s="111" t="s">
        <v>1746</v>
      </c>
      <c r="F592" s="111"/>
      <c r="G592" s="110" t="s">
        <v>2073</v>
      </c>
      <c r="H592" s="141">
        <v>30.040323000000001</v>
      </c>
      <c r="I592" s="280"/>
      <c r="J592" s="72">
        <v>148.52000000000001</v>
      </c>
      <c r="K592" s="271">
        <f t="shared" si="27"/>
        <v>4461.5887719600005</v>
      </c>
      <c r="L592" s="111"/>
      <c r="M592" s="73"/>
      <c r="N592" s="112"/>
      <c r="O592" s="111"/>
      <c r="P592" s="312">
        <v>0</v>
      </c>
      <c r="Q592" s="288">
        <f t="shared" si="28"/>
        <v>0</v>
      </c>
      <c r="R592" s="118">
        <v>0</v>
      </c>
      <c r="S592" s="283">
        <v>2016</v>
      </c>
      <c r="T592" s="288">
        <f t="shared" si="29"/>
        <v>4835</v>
      </c>
    </row>
    <row r="593" spans="2:20">
      <c r="B593" s="386" t="s">
        <v>698</v>
      </c>
      <c r="C593" s="114"/>
      <c r="D593" s="111" t="s">
        <v>1546</v>
      </c>
      <c r="E593" s="111" t="s">
        <v>1746</v>
      </c>
      <c r="F593" s="111"/>
      <c r="G593" s="110" t="s">
        <v>2073</v>
      </c>
      <c r="H593" s="141">
        <v>57.412542000000002</v>
      </c>
      <c r="I593" s="280"/>
      <c r="J593" s="72">
        <v>148.52000000000001</v>
      </c>
      <c r="K593" s="271">
        <f t="shared" si="27"/>
        <v>8526.9107378400004</v>
      </c>
      <c r="L593" s="111"/>
      <c r="M593" s="73"/>
      <c r="N593" s="112"/>
      <c r="O593" s="111"/>
      <c r="P593" s="312">
        <v>0</v>
      </c>
      <c r="Q593" s="288">
        <f t="shared" si="28"/>
        <v>0</v>
      </c>
      <c r="R593" s="118">
        <v>0</v>
      </c>
      <c r="S593" s="283">
        <v>2016</v>
      </c>
      <c r="T593" s="288">
        <f t="shared" si="29"/>
        <v>9240</v>
      </c>
    </row>
    <row r="594" spans="2:20">
      <c r="B594" s="386" t="s">
        <v>699</v>
      </c>
      <c r="C594" s="114"/>
      <c r="D594" s="111" t="s">
        <v>1546</v>
      </c>
      <c r="E594" s="111" t="s">
        <v>1746</v>
      </c>
      <c r="F594" s="111"/>
      <c r="G594" s="110" t="s">
        <v>2073</v>
      </c>
      <c r="H594" s="141">
        <v>650.77167699999995</v>
      </c>
      <c r="I594" s="280"/>
      <c r="J594" s="72">
        <v>148.52000000000001</v>
      </c>
      <c r="K594" s="271">
        <f t="shared" si="27"/>
        <v>96652.609468039998</v>
      </c>
      <c r="L594" s="111"/>
      <c r="M594" s="73"/>
      <c r="N594" s="112"/>
      <c r="O594" s="111"/>
      <c r="P594" s="312">
        <v>0</v>
      </c>
      <c r="Q594" s="288">
        <f t="shared" si="28"/>
        <v>0</v>
      </c>
      <c r="R594" s="118">
        <v>0</v>
      </c>
      <c r="S594" s="283">
        <v>2016</v>
      </c>
      <c r="T594" s="288">
        <f t="shared" si="29"/>
        <v>104732</v>
      </c>
    </row>
    <row r="595" spans="2:20">
      <c r="B595" s="386" t="s">
        <v>700</v>
      </c>
      <c r="C595" s="114"/>
      <c r="D595" s="111" t="s">
        <v>1546</v>
      </c>
      <c r="E595" s="111" t="s">
        <v>1747</v>
      </c>
      <c r="F595" s="111"/>
      <c r="G595" s="110" t="s">
        <v>2074</v>
      </c>
      <c r="H595" s="141">
        <v>0</v>
      </c>
      <c r="I595" s="280"/>
      <c r="J595" s="72">
        <v>148.52000000000001</v>
      </c>
      <c r="K595" s="271">
        <f t="shared" si="27"/>
        <v>0</v>
      </c>
      <c r="L595" s="111"/>
      <c r="M595" s="73"/>
      <c r="N595" s="112"/>
      <c r="O595" s="111"/>
      <c r="P595" s="312">
        <v>905.14750100000003</v>
      </c>
      <c r="Q595" s="288">
        <f t="shared" si="28"/>
        <v>10</v>
      </c>
      <c r="R595" s="118">
        <v>9051.4750100000001</v>
      </c>
      <c r="S595" s="283">
        <v>2016</v>
      </c>
      <c r="T595" s="288">
        <f t="shared" si="29"/>
        <v>9824</v>
      </c>
    </row>
    <row r="596" spans="2:20">
      <c r="B596" s="386" t="s">
        <v>701</v>
      </c>
      <c r="C596" s="114"/>
      <c r="D596" s="111" t="s">
        <v>1546</v>
      </c>
      <c r="E596" s="111" t="s">
        <v>1747</v>
      </c>
      <c r="F596" s="111"/>
      <c r="G596" s="110" t="s">
        <v>2073</v>
      </c>
      <c r="H596" s="141">
        <v>267.164691</v>
      </c>
      <c r="I596" s="280"/>
      <c r="J596" s="72">
        <v>148.52000000000001</v>
      </c>
      <c r="K596" s="271">
        <f t="shared" si="27"/>
        <v>39679.299907320004</v>
      </c>
      <c r="L596" s="111"/>
      <c r="M596" s="73"/>
      <c r="N596" s="112"/>
      <c r="O596" s="111"/>
      <c r="P596" s="312">
        <v>0</v>
      </c>
      <c r="Q596" s="288">
        <f t="shared" si="28"/>
        <v>0</v>
      </c>
      <c r="R596" s="118">
        <v>0</v>
      </c>
      <c r="S596" s="283">
        <v>2016</v>
      </c>
      <c r="T596" s="288">
        <f t="shared" si="29"/>
        <v>42996</v>
      </c>
    </row>
    <row r="597" spans="2:20">
      <c r="B597" s="386" t="s">
        <v>702</v>
      </c>
      <c r="C597" s="114"/>
      <c r="D597" s="111" t="s">
        <v>1546</v>
      </c>
      <c r="E597" s="111" t="s">
        <v>1747</v>
      </c>
      <c r="F597" s="111"/>
      <c r="G597" s="110" t="s">
        <v>2073</v>
      </c>
      <c r="H597" s="141">
        <v>40.911265</v>
      </c>
      <c r="I597" s="280"/>
      <c r="J597" s="72">
        <v>148.52000000000001</v>
      </c>
      <c r="K597" s="271">
        <f t="shared" si="27"/>
        <v>6076.1410778000009</v>
      </c>
      <c r="L597" s="111"/>
      <c r="M597" s="73"/>
      <c r="N597" s="112"/>
      <c r="O597" s="111"/>
      <c r="P597" s="312">
        <v>0</v>
      </c>
      <c r="Q597" s="288">
        <f t="shared" si="28"/>
        <v>0</v>
      </c>
      <c r="R597" s="118">
        <v>0</v>
      </c>
      <c r="S597" s="283">
        <v>2016</v>
      </c>
      <c r="T597" s="288">
        <f t="shared" si="29"/>
        <v>6584</v>
      </c>
    </row>
    <row r="598" spans="2:20">
      <c r="B598" s="386" t="s">
        <v>703</v>
      </c>
      <c r="C598" s="114"/>
      <c r="D598" s="111" t="s">
        <v>1546</v>
      </c>
      <c r="E598" s="111" t="s">
        <v>1738</v>
      </c>
      <c r="F598" s="111"/>
      <c r="G598" s="110" t="s">
        <v>2074</v>
      </c>
      <c r="H598" s="141">
        <v>6319.3322829999997</v>
      </c>
      <c r="I598" s="280"/>
      <c r="J598" s="72">
        <v>148.52000000000001</v>
      </c>
      <c r="K598" s="271">
        <f t="shared" si="27"/>
        <v>938547.23067116004</v>
      </c>
      <c r="L598" s="111"/>
      <c r="M598" s="73"/>
      <c r="N598" s="112"/>
      <c r="O598" s="111"/>
      <c r="P598" s="312">
        <v>9083.8226599999998</v>
      </c>
      <c r="Q598" s="288">
        <f t="shared" si="28"/>
        <v>8.6780107395887889</v>
      </c>
      <c r="R598" s="118">
        <v>78829.510599999994</v>
      </c>
      <c r="S598" s="283">
        <v>2016</v>
      </c>
      <c r="T598" s="288">
        <f t="shared" si="29"/>
        <v>1102558</v>
      </c>
    </row>
    <row r="599" spans="2:20">
      <c r="B599" s="386" t="s">
        <v>704</v>
      </c>
      <c r="C599" s="114"/>
      <c r="D599" s="111" t="s">
        <v>1546</v>
      </c>
      <c r="E599" s="111" t="s">
        <v>1738</v>
      </c>
      <c r="F599" s="111"/>
      <c r="G599" s="110" t="s">
        <v>2074</v>
      </c>
      <c r="H599" s="141">
        <v>399.53923300000002</v>
      </c>
      <c r="I599" s="280"/>
      <c r="J599" s="72">
        <v>148.52000000000001</v>
      </c>
      <c r="K599" s="271">
        <f t="shared" si="27"/>
        <v>59339.566885160006</v>
      </c>
      <c r="L599" s="111"/>
      <c r="M599" s="73"/>
      <c r="N599" s="112"/>
      <c r="O599" s="111"/>
      <c r="P599" s="312">
        <v>0</v>
      </c>
      <c r="Q599" s="288">
        <f t="shared" si="28"/>
        <v>0</v>
      </c>
      <c r="R599" s="118">
        <v>0</v>
      </c>
      <c r="S599" s="283">
        <v>2016</v>
      </c>
      <c r="T599" s="288">
        <f t="shared" si="29"/>
        <v>64300</v>
      </c>
    </row>
    <row r="600" spans="2:20">
      <c r="B600" s="386" t="s">
        <v>705</v>
      </c>
      <c r="C600" s="114"/>
      <c r="D600" s="111" t="s">
        <v>1547</v>
      </c>
      <c r="E600" s="111" t="s">
        <v>1738</v>
      </c>
      <c r="F600" s="111"/>
      <c r="G600" s="110" t="s">
        <v>2074</v>
      </c>
      <c r="H600" s="141">
        <v>108.622759</v>
      </c>
      <c r="I600" s="280"/>
      <c r="J600" s="72">
        <v>148.52000000000001</v>
      </c>
      <c r="K600" s="271">
        <f t="shared" si="27"/>
        <v>16132.652166680002</v>
      </c>
      <c r="L600" s="111"/>
      <c r="M600" s="73"/>
      <c r="N600" s="112"/>
      <c r="O600" s="111"/>
      <c r="P600" s="312">
        <v>0</v>
      </c>
      <c r="Q600" s="288">
        <f t="shared" si="28"/>
        <v>0</v>
      </c>
      <c r="R600" s="118">
        <v>0</v>
      </c>
      <c r="S600" s="283">
        <v>2016</v>
      </c>
      <c r="T600" s="288">
        <f t="shared" si="29"/>
        <v>17481</v>
      </c>
    </row>
    <row r="601" spans="2:20">
      <c r="B601" s="386" t="s">
        <v>706</v>
      </c>
      <c r="C601" s="114"/>
      <c r="D601" s="111" t="s">
        <v>1546</v>
      </c>
      <c r="E601" s="111" t="s">
        <v>1740</v>
      </c>
      <c r="F601" s="111"/>
      <c r="G601" s="110" t="s">
        <v>2074</v>
      </c>
      <c r="H601" s="141">
        <v>4462.6642789999996</v>
      </c>
      <c r="I601" s="280"/>
      <c r="J601" s="72">
        <v>148.52000000000001</v>
      </c>
      <c r="K601" s="271">
        <f t="shared" si="27"/>
        <v>662794.89871708001</v>
      </c>
      <c r="L601" s="111"/>
      <c r="M601" s="73"/>
      <c r="N601" s="112"/>
      <c r="O601" s="111"/>
      <c r="P601" s="312">
        <v>0</v>
      </c>
      <c r="Q601" s="288">
        <f t="shared" si="28"/>
        <v>0</v>
      </c>
      <c r="R601" s="118">
        <v>0</v>
      </c>
      <c r="S601" s="283">
        <v>2016</v>
      </c>
      <c r="T601" s="288">
        <f t="shared" si="29"/>
        <v>718198</v>
      </c>
    </row>
    <row r="602" spans="2:20">
      <c r="B602" s="386" t="s">
        <v>707</v>
      </c>
      <c r="C602" s="114"/>
      <c r="D602" s="111" t="s">
        <v>1546</v>
      </c>
      <c r="E602" s="111" t="s">
        <v>1740</v>
      </c>
      <c r="F602" s="111"/>
      <c r="G602" s="110" t="s">
        <v>2074</v>
      </c>
      <c r="H602" s="141">
        <v>3021.9140320000001</v>
      </c>
      <c r="I602" s="280"/>
      <c r="J602" s="72">
        <v>148.52000000000001</v>
      </c>
      <c r="K602" s="271">
        <f t="shared" si="27"/>
        <v>448814.67203264002</v>
      </c>
      <c r="L602" s="111"/>
      <c r="M602" s="73"/>
      <c r="N602" s="112"/>
      <c r="O602" s="111"/>
      <c r="P602" s="312">
        <v>0</v>
      </c>
      <c r="Q602" s="288">
        <f t="shared" si="28"/>
        <v>0</v>
      </c>
      <c r="R602" s="118">
        <v>0</v>
      </c>
      <c r="S602" s="283">
        <v>2016</v>
      </c>
      <c r="T602" s="288">
        <f t="shared" si="29"/>
        <v>486331</v>
      </c>
    </row>
    <row r="603" spans="2:20">
      <c r="B603" s="386" t="s">
        <v>708</v>
      </c>
      <c r="C603" s="114"/>
      <c r="D603" s="111" t="s">
        <v>1546</v>
      </c>
      <c r="E603" s="111" t="s">
        <v>1740</v>
      </c>
      <c r="F603" s="111"/>
      <c r="G603" s="110" t="s">
        <v>2073</v>
      </c>
      <c r="H603" s="141">
        <v>15.687858</v>
      </c>
      <c r="I603" s="280"/>
      <c r="J603" s="72">
        <v>148.52000000000001</v>
      </c>
      <c r="K603" s="271">
        <f t="shared" si="27"/>
        <v>2329.9606701600001</v>
      </c>
      <c r="L603" s="111"/>
      <c r="M603" s="73"/>
      <c r="N603" s="112"/>
      <c r="O603" s="111"/>
      <c r="P603" s="312">
        <v>0</v>
      </c>
      <c r="Q603" s="288">
        <f t="shared" si="28"/>
        <v>0</v>
      </c>
      <c r="R603" s="118">
        <v>0</v>
      </c>
      <c r="S603" s="283">
        <v>2016</v>
      </c>
      <c r="T603" s="288">
        <f t="shared" si="29"/>
        <v>2525</v>
      </c>
    </row>
    <row r="604" spans="2:20">
      <c r="B604" s="386" t="s">
        <v>709</v>
      </c>
      <c r="C604" s="114"/>
      <c r="D604" s="111" t="s">
        <v>1546</v>
      </c>
      <c r="E604" s="111" t="s">
        <v>1748</v>
      </c>
      <c r="F604" s="111"/>
      <c r="G604" s="110" t="s">
        <v>2073</v>
      </c>
      <c r="H604" s="141">
        <v>168.91372799999999</v>
      </c>
      <c r="I604" s="280"/>
      <c r="J604" s="72">
        <v>148.52000000000001</v>
      </c>
      <c r="K604" s="271">
        <f t="shared" si="27"/>
        <v>25087.066882560001</v>
      </c>
      <c r="L604" s="111"/>
      <c r="M604" s="73"/>
      <c r="N604" s="112"/>
      <c r="O604" s="111"/>
      <c r="P604" s="312">
        <v>0</v>
      </c>
      <c r="Q604" s="288">
        <f t="shared" si="28"/>
        <v>0</v>
      </c>
      <c r="R604" s="118">
        <v>0</v>
      </c>
      <c r="S604" s="283">
        <v>2016</v>
      </c>
      <c r="T604" s="288">
        <f t="shared" si="29"/>
        <v>27184</v>
      </c>
    </row>
    <row r="605" spans="2:20">
      <c r="B605" s="386" t="s">
        <v>710</v>
      </c>
      <c r="C605" s="114"/>
      <c r="D605" s="111" t="s">
        <v>1547</v>
      </c>
      <c r="E605" s="111" t="s">
        <v>1749</v>
      </c>
      <c r="F605" s="111"/>
      <c r="G605" s="110" t="s">
        <v>2073</v>
      </c>
      <c r="H605" s="141">
        <v>118.093326</v>
      </c>
      <c r="I605" s="280"/>
      <c r="J605" s="72">
        <v>148.52000000000001</v>
      </c>
      <c r="K605" s="271">
        <f t="shared" si="27"/>
        <v>17539.22077752</v>
      </c>
      <c r="L605" s="111"/>
      <c r="M605" s="73"/>
      <c r="N605" s="112"/>
      <c r="O605" s="111"/>
      <c r="P605" s="312">
        <v>2786.4757</v>
      </c>
      <c r="Q605" s="288">
        <f t="shared" si="28"/>
        <v>277.99999978467423</v>
      </c>
      <c r="R605" s="118">
        <v>774640.24399999995</v>
      </c>
      <c r="S605" s="283">
        <v>2016</v>
      </c>
      <c r="T605" s="288">
        <f t="shared" si="29"/>
        <v>859764</v>
      </c>
    </row>
    <row r="606" spans="2:20">
      <c r="B606" s="386" t="s">
        <v>711</v>
      </c>
      <c r="C606" s="114"/>
      <c r="D606" s="111" t="s">
        <v>1547</v>
      </c>
      <c r="E606" s="111" t="s">
        <v>1749</v>
      </c>
      <c r="F606" s="111"/>
      <c r="G606" s="110" t="s">
        <v>2073</v>
      </c>
      <c r="H606" s="141">
        <v>64.918859999999995</v>
      </c>
      <c r="I606" s="280"/>
      <c r="J606" s="72">
        <v>148.52000000000001</v>
      </c>
      <c r="K606" s="271">
        <f t="shared" si="27"/>
        <v>9641.7490871999998</v>
      </c>
      <c r="L606" s="111"/>
      <c r="M606" s="73"/>
      <c r="N606" s="112"/>
      <c r="O606" s="111"/>
      <c r="P606" s="312">
        <v>0</v>
      </c>
      <c r="Q606" s="288">
        <f t="shared" si="28"/>
        <v>0</v>
      </c>
      <c r="R606" s="118">
        <v>0</v>
      </c>
      <c r="S606" s="283">
        <v>2016</v>
      </c>
      <c r="T606" s="288">
        <f t="shared" si="29"/>
        <v>10448</v>
      </c>
    </row>
    <row r="607" spans="2:20">
      <c r="B607" s="386" t="s">
        <v>712</v>
      </c>
      <c r="C607" s="114"/>
      <c r="D607" s="111" t="s">
        <v>1547</v>
      </c>
      <c r="E607" s="111" t="s">
        <v>1749</v>
      </c>
      <c r="F607" s="111"/>
      <c r="G607" s="110" t="s">
        <v>2073</v>
      </c>
      <c r="H607" s="141">
        <v>1620.9483090000001</v>
      </c>
      <c r="I607" s="280"/>
      <c r="J607" s="72">
        <v>148.52000000000001</v>
      </c>
      <c r="K607" s="271">
        <f t="shared" si="27"/>
        <v>240743.24285268004</v>
      </c>
      <c r="L607" s="111"/>
      <c r="M607" s="73"/>
      <c r="N607" s="112"/>
      <c r="O607" s="111"/>
      <c r="P607" s="312">
        <v>0</v>
      </c>
      <c r="Q607" s="288">
        <f t="shared" si="28"/>
        <v>0</v>
      </c>
      <c r="R607" s="118">
        <v>0</v>
      </c>
      <c r="S607" s="283">
        <v>2016</v>
      </c>
      <c r="T607" s="288">
        <f t="shared" si="29"/>
        <v>260867</v>
      </c>
    </row>
    <row r="608" spans="2:20">
      <c r="B608" s="386" t="s">
        <v>713</v>
      </c>
      <c r="C608" s="114"/>
      <c r="D608" s="111" t="s">
        <v>1547</v>
      </c>
      <c r="E608" s="111" t="s">
        <v>1749</v>
      </c>
      <c r="F608" s="111"/>
      <c r="G608" s="110" t="s">
        <v>2073</v>
      </c>
      <c r="H608" s="141">
        <v>90.036006</v>
      </c>
      <c r="I608" s="280"/>
      <c r="J608" s="72">
        <v>148.52000000000001</v>
      </c>
      <c r="K608" s="271">
        <f t="shared" si="27"/>
        <v>13372.147611120001</v>
      </c>
      <c r="L608" s="111"/>
      <c r="M608" s="73"/>
      <c r="N608" s="112"/>
      <c r="O608" s="111"/>
      <c r="P608" s="312">
        <v>0</v>
      </c>
      <c r="Q608" s="288">
        <f t="shared" si="28"/>
        <v>0</v>
      </c>
      <c r="R608" s="118">
        <v>0</v>
      </c>
      <c r="S608" s="283">
        <v>2016</v>
      </c>
      <c r="T608" s="288">
        <f t="shared" si="29"/>
        <v>14490</v>
      </c>
    </row>
    <row r="609" spans="2:20">
      <c r="B609" s="386" t="s">
        <v>714</v>
      </c>
      <c r="C609" s="114"/>
      <c r="D609" s="111" t="s">
        <v>1546</v>
      </c>
      <c r="E609" s="111" t="s">
        <v>1750</v>
      </c>
      <c r="F609" s="111"/>
      <c r="G609" s="110" t="s">
        <v>2073</v>
      </c>
      <c r="H609" s="141">
        <v>83.889833999999993</v>
      </c>
      <c r="I609" s="280"/>
      <c r="J609" s="72">
        <v>148.52000000000001</v>
      </c>
      <c r="K609" s="271">
        <f t="shared" si="27"/>
        <v>12459.318145679999</v>
      </c>
      <c r="L609" s="111"/>
      <c r="M609" s="73"/>
      <c r="N609" s="112"/>
      <c r="O609" s="111"/>
      <c r="P609" s="312">
        <v>0</v>
      </c>
      <c r="Q609" s="288">
        <f t="shared" si="28"/>
        <v>0</v>
      </c>
      <c r="R609" s="118">
        <v>0</v>
      </c>
      <c r="S609" s="283">
        <v>2016</v>
      </c>
      <c r="T609" s="288">
        <f t="shared" si="29"/>
        <v>13501</v>
      </c>
    </row>
    <row r="610" spans="2:20">
      <c r="B610" s="386" t="s">
        <v>715</v>
      </c>
      <c r="C610" s="114"/>
      <c r="D610" s="111" t="s">
        <v>1546</v>
      </c>
      <c r="E610" s="111" t="s">
        <v>1751</v>
      </c>
      <c r="F610" s="111"/>
      <c r="G610" s="110" t="s">
        <v>2073</v>
      </c>
      <c r="H610" s="141">
        <v>316.55803100000003</v>
      </c>
      <c r="I610" s="280"/>
      <c r="J610" s="72">
        <v>148.52000000000001</v>
      </c>
      <c r="K610" s="271">
        <f t="shared" si="27"/>
        <v>47015.19876412001</v>
      </c>
      <c r="L610" s="111"/>
      <c r="M610" s="73"/>
      <c r="N610" s="112"/>
      <c r="O610" s="111"/>
      <c r="P610" s="312">
        <v>0</v>
      </c>
      <c r="Q610" s="288">
        <f t="shared" si="28"/>
        <v>0</v>
      </c>
      <c r="R610" s="118">
        <v>0</v>
      </c>
      <c r="S610" s="283">
        <v>2016</v>
      </c>
      <c r="T610" s="288">
        <f t="shared" si="29"/>
        <v>50945</v>
      </c>
    </row>
    <row r="611" spans="2:20">
      <c r="B611" s="386" t="s">
        <v>716</v>
      </c>
      <c r="C611" s="114"/>
      <c r="D611" s="111" t="s">
        <v>1547</v>
      </c>
      <c r="E611" s="111" t="s">
        <v>1752</v>
      </c>
      <c r="F611" s="111"/>
      <c r="G611" s="110" t="s">
        <v>2073</v>
      </c>
      <c r="H611" s="141">
        <v>6.5254570000000003</v>
      </c>
      <c r="I611" s="280"/>
      <c r="J611" s="72">
        <v>148.52000000000001</v>
      </c>
      <c r="K611" s="271">
        <f t="shared" si="27"/>
        <v>969.16087364000009</v>
      </c>
      <c r="L611" s="111"/>
      <c r="M611" s="73"/>
      <c r="N611" s="112"/>
      <c r="O611" s="111"/>
      <c r="P611" s="312">
        <v>0</v>
      </c>
      <c r="Q611" s="288">
        <f t="shared" si="28"/>
        <v>0</v>
      </c>
      <c r="R611" s="118">
        <v>0</v>
      </c>
      <c r="S611" s="283">
        <v>2016</v>
      </c>
      <c r="T611" s="288">
        <f t="shared" si="29"/>
        <v>1050</v>
      </c>
    </row>
    <row r="612" spans="2:20">
      <c r="B612" s="386" t="s">
        <v>717</v>
      </c>
      <c r="C612" s="114"/>
      <c r="D612" s="111" t="s">
        <v>1546</v>
      </c>
      <c r="E612" s="111" t="s">
        <v>1753</v>
      </c>
      <c r="F612" s="111"/>
      <c r="G612" s="110" t="s">
        <v>2073</v>
      </c>
      <c r="H612" s="141">
        <v>27.179963000000001</v>
      </c>
      <c r="I612" s="280"/>
      <c r="J612" s="72">
        <v>148.52000000000001</v>
      </c>
      <c r="K612" s="271">
        <f t="shared" si="27"/>
        <v>4036.7681047600004</v>
      </c>
      <c r="L612" s="111"/>
      <c r="M612" s="73"/>
      <c r="N612" s="112"/>
      <c r="O612" s="111"/>
      <c r="P612" s="312">
        <v>0</v>
      </c>
      <c r="Q612" s="288">
        <f t="shared" si="28"/>
        <v>0</v>
      </c>
      <c r="R612" s="118">
        <v>0</v>
      </c>
      <c r="S612" s="283">
        <v>2016</v>
      </c>
      <c r="T612" s="288">
        <f t="shared" si="29"/>
        <v>4374</v>
      </c>
    </row>
    <row r="613" spans="2:20">
      <c r="B613" s="386" t="s">
        <v>718</v>
      </c>
      <c r="C613" s="114"/>
      <c r="D613" s="111" t="s">
        <v>1546</v>
      </c>
      <c r="E613" s="111" t="s">
        <v>1753</v>
      </c>
      <c r="F613" s="111"/>
      <c r="G613" s="110" t="s">
        <v>2073</v>
      </c>
      <c r="H613" s="141">
        <v>317.864352</v>
      </c>
      <c r="I613" s="280"/>
      <c r="J613" s="72">
        <v>148.52000000000001</v>
      </c>
      <c r="K613" s="271">
        <f t="shared" si="27"/>
        <v>47209.213559039999</v>
      </c>
      <c r="L613" s="111"/>
      <c r="M613" s="73"/>
      <c r="N613" s="112"/>
      <c r="O613" s="111"/>
      <c r="P613" s="312">
        <v>0</v>
      </c>
      <c r="Q613" s="288">
        <f t="shared" si="28"/>
        <v>0</v>
      </c>
      <c r="R613" s="118">
        <v>0</v>
      </c>
      <c r="S613" s="283">
        <v>2016</v>
      </c>
      <c r="T613" s="288">
        <f t="shared" si="29"/>
        <v>51155</v>
      </c>
    </row>
    <row r="614" spans="2:20">
      <c r="B614" s="386" t="s">
        <v>719</v>
      </c>
      <c r="C614" s="114"/>
      <c r="D614" s="111" t="s">
        <v>1546</v>
      </c>
      <c r="E614" s="111" t="s">
        <v>1753</v>
      </c>
      <c r="F614" s="111"/>
      <c r="G614" s="110" t="s">
        <v>2073</v>
      </c>
      <c r="H614" s="141">
        <v>36.098883999999998</v>
      </c>
      <c r="I614" s="280"/>
      <c r="J614" s="72">
        <v>148.52000000000001</v>
      </c>
      <c r="K614" s="271">
        <f t="shared" si="27"/>
        <v>5361.4062516800004</v>
      </c>
      <c r="L614" s="111"/>
      <c r="M614" s="73"/>
      <c r="N614" s="112"/>
      <c r="O614" s="111"/>
      <c r="P614" s="312">
        <v>0</v>
      </c>
      <c r="Q614" s="288">
        <f t="shared" si="28"/>
        <v>0</v>
      </c>
      <c r="R614" s="118">
        <v>0</v>
      </c>
      <c r="S614" s="283">
        <v>2016</v>
      </c>
      <c r="T614" s="288">
        <f t="shared" si="29"/>
        <v>5810</v>
      </c>
    </row>
    <row r="615" spans="2:20">
      <c r="B615" s="386" t="s">
        <v>720</v>
      </c>
      <c r="C615" s="114"/>
      <c r="D615" s="111" t="s">
        <v>1546</v>
      </c>
      <c r="E615" s="111" t="s">
        <v>1753</v>
      </c>
      <c r="F615" s="111"/>
      <c r="G615" s="110" t="s">
        <v>2073</v>
      </c>
      <c r="H615" s="141">
        <v>899.89493600000003</v>
      </c>
      <c r="I615" s="280"/>
      <c r="J615" s="72">
        <v>148.52000000000001</v>
      </c>
      <c r="K615" s="271">
        <f t="shared" si="27"/>
        <v>133652.39589472002</v>
      </c>
      <c r="L615" s="111"/>
      <c r="M615" s="73"/>
      <c r="N615" s="112"/>
      <c r="O615" s="111"/>
      <c r="P615" s="312">
        <v>0</v>
      </c>
      <c r="Q615" s="288">
        <f t="shared" si="28"/>
        <v>0</v>
      </c>
      <c r="R615" s="118">
        <v>0</v>
      </c>
      <c r="S615" s="283">
        <v>2016</v>
      </c>
      <c r="T615" s="288">
        <f t="shared" si="29"/>
        <v>144824</v>
      </c>
    </row>
    <row r="616" spans="2:20">
      <c r="B616" s="386" t="s">
        <v>721</v>
      </c>
      <c r="C616" s="114"/>
      <c r="D616" s="111" t="s">
        <v>1546</v>
      </c>
      <c r="E616" s="111" t="s">
        <v>1753</v>
      </c>
      <c r="F616" s="111"/>
      <c r="G616" s="110" t="s">
        <v>2073</v>
      </c>
      <c r="H616" s="141">
        <v>34.937973</v>
      </c>
      <c r="I616" s="280"/>
      <c r="J616" s="72">
        <v>148.52000000000001</v>
      </c>
      <c r="K616" s="271">
        <f t="shared" si="27"/>
        <v>5188.9877499600007</v>
      </c>
      <c r="L616" s="111"/>
      <c r="M616" s="73"/>
      <c r="N616" s="112"/>
      <c r="O616" s="111"/>
      <c r="P616" s="312">
        <v>0</v>
      </c>
      <c r="Q616" s="288">
        <f t="shared" si="28"/>
        <v>0</v>
      </c>
      <c r="R616" s="118">
        <v>0</v>
      </c>
      <c r="S616" s="283">
        <v>2016</v>
      </c>
      <c r="T616" s="288">
        <f t="shared" si="29"/>
        <v>5623</v>
      </c>
    </row>
    <row r="617" spans="2:20">
      <c r="B617" s="386" t="s">
        <v>722</v>
      </c>
      <c r="C617" s="114"/>
      <c r="D617" s="111" t="s">
        <v>1546</v>
      </c>
      <c r="E617" s="111" t="s">
        <v>1753</v>
      </c>
      <c r="F617" s="111"/>
      <c r="G617" s="110" t="s">
        <v>2073</v>
      </c>
      <c r="H617" s="141">
        <v>14.247994</v>
      </c>
      <c r="I617" s="280"/>
      <c r="J617" s="72">
        <v>148.52000000000001</v>
      </c>
      <c r="K617" s="271">
        <f t="shared" si="27"/>
        <v>2116.1120688800002</v>
      </c>
      <c r="L617" s="111"/>
      <c r="M617" s="73"/>
      <c r="N617" s="112"/>
      <c r="O617" s="111"/>
      <c r="P617" s="312">
        <v>0</v>
      </c>
      <c r="Q617" s="288">
        <f t="shared" si="28"/>
        <v>0</v>
      </c>
      <c r="R617" s="118">
        <v>0</v>
      </c>
      <c r="S617" s="283">
        <v>2016</v>
      </c>
      <c r="T617" s="288">
        <f t="shared" si="29"/>
        <v>2293</v>
      </c>
    </row>
    <row r="618" spans="2:20">
      <c r="B618" s="386" t="s">
        <v>723</v>
      </c>
      <c r="C618" s="114"/>
      <c r="D618" s="111" t="s">
        <v>1546</v>
      </c>
      <c r="E618" s="111" t="s">
        <v>1753</v>
      </c>
      <c r="F618" s="111"/>
      <c r="G618" s="110" t="s">
        <v>2073</v>
      </c>
      <c r="H618" s="141">
        <v>20.078419</v>
      </c>
      <c r="I618" s="280"/>
      <c r="J618" s="72">
        <v>148.52000000000001</v>
      </c>
      <c r="K618" s="271">
        <f t="shared" si="27"/>
        <v>2982.0467898800002</v>
      </c>
      <c r="L618" s="111"/>
      <c r="M618" s="73"/>
      <c r="N618" s="112"/>
      <c r="O618" s="111"/>
      <c r="P618" s="312">
        <v>0</v>
      </c>
      <c r="Q618" s="288">
        <f t="shared" si="28"/>
        <v>0</v>
      </c>
      <c r="R618" s="118">
        <v>0</v>
      </c>
      <c r="S618" s="283">
        <v>2016</v>
      </c>
      <c r="T618" s="288">
        <f t="shared" si="29"/>
        <v>3231</v>
      </c>
    </row>
    <row r="619" spans="2:20">
      <c r="B619" s="386" t="s">
        <v>724</v>
      </c>
      <c r="C619" s="114"/>
      <c r="D619" s="111" t="s">
        <v>1546</v>
      </c>
      <c r="E619" s="111" t="s">
        <v>1754</v>
      </c>
      <c r="F619" s="111"/>
      <c r="G619" s="110" t="s">
        <v>2073</v>
      </c>
      <c r="H619" s="141">
        <v>179.95008799999999</v>
      </c>
      <c r="I619" s="280"/>
      <c r="J619" s="72">
        <v>148.52000000000001</v>
      </c>
      <c r="K619" s="271">
        <f t="shared" si="27"/>
        <v>26726.187069760002</v>
      </c>
      <c r="L619" s="111"/>
      <c r="M619" s="73"/>
      <c r="N619" s="112"/>
      <c r="O619" s="111"/>
      <c r="P619" s="312">
        <v>0</v>
      </c>
      <c r="Q619" s="288">
        <f t="shared" si="28"/>
        <v>0</v>
      </c>
      <c r="R619" s="118">
        <v>0</v>
      </c>
      <c r="S619" s="283">
        <v>2016</v>
      </c>
      <c r="T619" s="288">
        <f t="shared" si="29"/>
        <v>28960</v>
      </c>
    </row>
    <row r="620" spans="2:20">
      <c r="B620" s="386" t="s">
        <v>725</v>
      </c>
      <c r="C620" s="114"/>
      <c r="D620" s="111" t="s">
        <v>1546</v>
      </c>
      <c r="E620" s="111" t="s">
        <v>1620</v>
      </c>
      <c r="F620" s="111"/>
      <c r="G620" s="110" t="s">
        <v>2073</v>
      </c>
      <c r="H620" s="141">
        <v>112.96152499999999</v>
      </c>
      <c r="I620" s="280"/>
      <c r="J620" s="72">
        <v>148.52000000000001</v>
      </c>
      <c r="K620" s="271">
        <f t="shared" si="27"/>
        <v>16777.045693</v>
      </c>
      <c r="L620" s="111"/>
      <c r="M620" s="73"/>
      <c r="N620" s="112"/>
      <c r="O620" s="111"/>
      <c r="P620" s="312">
        <v>0</v>
      </c>
      <c r="Q620" s="288">
        <f t="shared" si="28"/>
        <v>0</v>
      </c>
      <c r="R620" s="118">
        <v>0</v>
      </c>
      <c r="S620" s="283">
        <v>2016</v>
      </c>
      <c r="T620" s="288">
        <f t="shared" si="29"/>
        <v>18179</v>
      </c>
    </row>
    <row r="621" spans="2:20">
      <c r="B621" s="386" t="s">
        <v>726</v>
      </c>
      <c r="C621" s="114"/>
      <c r="D621" s="111" t="s">
        <v>1547</v>
      </c>
      <c r="E621" s="111" t="s">
        <v>1755</v>
      </c>
      <c r="F621" s="111"/>
      <c r="G621" s="110" t="s">
        <v>2073</v>
      </c>
      <c r="H621" s="141">
        <v>322.16783900000001</v>
      </c>
      <c r="I621" s="280"/>
      <c r="J621" s="72">
        <v>148.52000000000001</v>
      </c>
      <c r="K621" s="271">
        <f t="shared" si="27"/>
        <v>47848.367448280005</v>
      </c>
      <c r="L621" s="111"/>
      <c r="M621" s="73"/>
      <c r="N621" s="112"/>
      <c r="O621" s="111"/>
      <c r="P621" s="312">
        <v>839.33355900000004</v>
      </c>
      <c r="Q621" s="288">
        <f t="shared" si="28"/>
        <v>278.00000071247001</v>
      </c>
      <c r="R621" s="118">
        <v>233334.73</v>
      </c>
      <c r="S621" s="283">
        <v>2016</v>
      </c>
      <c r="T621" s="288">
        <f t="shared" si="29"/>
        <v>305099</v>
      </c>
    </row>
    <row r="622" spans="2:20">
      <c r="B622" s="386" t="s">
        <v>727</v>
      </c>
      <c r="C622" s="114"/>
      <c r="D622" s="111" t="s">
        <v>1547</v>
      </c>
      <c r="E622" s="111" t="s">
        <v>1755</v>
      </c>
      <c r="F622" s="111"/>
      <c r="G622" s="110" t="s">
        <v>2073</v>
      </c>
      <c r="H622" s="141">
        <v>660.51422700000001</v>
      </c>
      <c r="I622" s="280"/>
      <c r="J622" s="72">
        <v>148.52000000000001</v>
      </c>
      <c r="K622" s="271">
        <f t="shared" si="27"/>
        <v>98099.572994040005</v>
      </c>
      <c r="L622" s="111"/>
      <c r="M622" s="73"/>
      <c r="N622" s="112"/>
      <c r="O622" s="111"/>
      <c r="P622" s="312">
        <v>0</v>
      </c>
      <c r="Q622" s="288">
        <f t="shared" si="28"/>
        <v>0</v>
      </c>
      <c r="R622" s="118">
        <v>0</v>
      </c>
      <c r="S622" s="283">
        <v>2016</v>
      </c>
      <c r="T622" s="288">
        <f t="shared" si="29"/>
        <v>106300</v>
      </c>
    </row>
    <row r="623" spans="2:20">
      <c r="B623" s="386" t="s">
        <v>728</v>
      </c>
      <c r="C623" s="114"/>
      <c r="D623" s="111" t="s">
        <v>1547</v>
      </c>
      <c r="E623" s="111" t="s">
        <v>1755</v>
      </c>
      <c r="F623" s="111"/>
      <c r="G623" s="110" t="s">
        <v>2073</v>
      </c>
      <c r="H623" s="141">
        <v>42.060515000000002</v>
      </c>
      <c r="I623" s="280"/>
      <c r="J623" s="72">
        <v>148.52000000000001</v>
      </c>
      <c r="K623" s="271">
        <f t="shared" si="27"/>
        <v>6246.8276878000006</v>
      </c>
      <c r="L623" s="111"/>
      <c r="M623" s="73"/>
      <c r="N623" s="112"/>
      <c r="O623" s="111"/>
      <c r="P623" s="312">
        <v>0</v>
      </c>
      <c r="Q623" s="288">
        <f t="shared" si="28"/>
        <v>0</v>
      </c>
      <c r="R623" s="118">
        <v>0</v>
      </c>
      <c r="S623" s="283">
        <v>2016</v>
      </c>
      <c r="T623" s="288">
        <f t="shared" si="29"/>
        <v>6769</v>
      </c>
    </row>
    <row r="624" spans="2:20">
      <c r="B624" s="386" t="s">
        <v>729</v>
      </c>
      <c r="C624" s="114"/>
      <c r="D624" s="111" t="s">
        <v>1547</v>
      </c>
      <c r="E624" s="111" t="s">
        <v>1755</v>
      </c>
      <c r="F624" s="111"/>
      <c r="G624" s="110" t="s">
        <v>2073</v>
      </c>
      <c r="H624" s="141">
        <v>933.04494099999999</v>
      </c>
      <c r="I624" s="280"/>
      <c r="J624" s="72">
        <v>148.52000000000001</v>
      </c>
      <c r="K624" s="271">
        <f t="shared" si="27"/>
        <v>138575.83463732002</v>
      </c>
      <c r="L624" s="111"/>
      <c r="M624" s="73"/>
      <c r="N624" s="112"/>
      <c r="O624" s="111"/>
      <c r="P624" s="312">
        <v>0</v>
      </c>
      <c r="Q624" s="288">
        <f t="shared" si="28"/>
        <v>0</v>
      </c>
      <c r="R624" s="118">
        <v>0</v>
      </c>
      <c r="S624" s="283">
        <v>2016</v>
      </c>
      <c r="T624" s="288">
        <f t="shared" si="29"/>
        <v>150159</v>
      </c>
    </row>
    <row r="625" spans="2:20">
      <c r="B625" s="386" t="s">
        <v>730</v>
      </c>
      <c r="C625" s="114"/>
      <c r="D625" s="111" t="s">
        <v>1546</v>
      </c>
      <c r="E625" s="111" t="s">
        <v>1756</v>
      </c>
      <c r="F625" s="111"/>
      <c r="G625" s="110" t="s">
        <v>2073</v>
      </c>
      <c r="H625" s="141">
        <v>1446.595454</v>
      </c>
      <c r="I625" s="280"/>
      <c r="J625" s="72">
        <v>148.52000000000001</v>
      </c>
      <c r="K625" s="271">
        <f t="shared" si="27"/>
        <v>214848.35682808002</v>
      </c>
      <c r="L625" s="111"/>
      <c r="M625" s="73"/>
      <c r="N625" s="112"/>
      <c r="O625" s="111"/>
      <c r="P625" s="312">
        <v>0</v>
      </c>
      <c r="Q625" s="288">
        <f t="shared" si="28"/>
        <v>0</v>
      </c>
      <c r="R625" s="118">
        <v>0</v>
      </c>
      <c r="S625" s="283">
        <v>2016</v>
      </c>
      <c r="T625" s="288">
        <f t="shared" si="29"/>
        <v>232807</v>
      </c>
    </row>
    <row r="626" spans="2:20">
      <c r="B626" s="386" t="s">
        <v>731</v>
      </c>
      <c r="C626" s="114"/>
      <c r="D626" s="111" t="s">
        <v>1547</v>
      </c>
      <c r="E626" s="111" t="s">
        <v>1757</v>
      </c>
      <c r="F626" s="111"/>
      <c r="G626" s="110" t="s">
        <v>2073</v>
      </c>
      <c r="H626" s="141">
        <v>66.166117</v>
      </c>
      <c r="I626" s="280"/>
      <c r="J626" s="72">
        <v>148.52000000000001</v>
      </c>
      <c r="K626" s="271">
        <f t="shared" si="27"/>
        <v>9826.9916968400012</v>
      </c>
      <c r="L626" s="111"/>
      <c r="M626" s="73"/>
      <c r="N626" s="112"/>
      <c r="O626" s="111"/>
      <c r="P626" s="312">
        <v>0</v>
      </c>
      <c r="Q626" s="288">
        <f t="shared" si="28"/>
        <v>0</v>
      </c>
      <c r="R626" s="118">
        <v>0</v>
      </c>
      <c r="S626" s="283">
        <v>2016</v>
      </c>
      <c r="T626" s="288">
        <f t="shared" si="29"/>
        <v>10648</v>
      </c>
    </row>
    <row r="627" spans="2:20">
      <c r="B627" s="386" t="s">
        <v>732</v>
      </c>
      <c r="C627" s="114"/>
      <c r="D627" s="111" t="s">
        <v>1547</v>
      </c>
      <c r="E627" s="111" t="s">
        <v>1757</v>
      </c>
      <c r="F627" s="111"/>
      <c r="G627" s="110" t="s">
        <v>2073</v>
      </c>
      <c r="H627" s="141">
        <v>883.60472600000003</v>
      </c>
      <c r="I627" s="280"/>
      <c r="J627" s="72">
        <v>148.52000000000001</v>
      </c>
      <c r="K627" s="271">
        <f t="shared" si="27"/>
        <v>131232.97390552002</v>
      </c>
      <c r="L627" s="111"/>
      <c r="M627" s="73"/>
      <c r="N627" s="112"/>
      <c r="O627" s="111"/>
      <c r="P627" s="312">
        <v>0</v>
      </c>
      <c r="Q627" s="288">
        <f t="shared" si="28"/>
        <v>0</v>
      </c>
      <c r="R627" s="118">
        <v>0</v>
      </c>
      <c r="S627" s="283">
        <v>2016</v>
      </c>
      <c r="T627" s="288">
        <f t="shared" si="29"/>
        <v>142203</v>
      </c>
    </row>
    <row r="628" spans="2:20">
      <c r="B628" s="386" t="s">
        <v>733</v>
      </c>
      <c r="C628" s="114"/>
      <c r="D628" s="111" t="s">
        <v>1546</v>
      </c>
      <c r="E628" s="111" t="s">
        <v>1750</v>
      </c>
      <c r="F628" s="111"/>
      <c r="G628" s="110" t="s">
        <v>2073</v>
      </c>
      <c r="H628" s="141">
        <v>2031.856992</v>
      </c>
      <c r="I628" s="280"/>
      <c r="J628" s="72">
        <v>148.52000000000001</v>
      </c>
      <c r="K628" s="271">
        <f t="shared" si="27"/>
        <v>301771.40045184002</v>
      </c>
      <c r="L628" s="111"/>
      <c r="M628" s="73"/>
      <c r="N628" s="112"/>
      <c r="O628" s="111"/>
      <c r="P628" s="312">
        <v>0</v>
      </c>
      <c r="Q628" s="288">
        <f t="shared" si="28"/>
        <v>0</v>
      </c>
      <c r="R628" s="118">
        <v>0</v>
      </c>
      <c r="S628" s="283">
        <v>2016</v>
      </c>
      <c r="T628" s="288">
        <f t="shared" si="29"/>
        <v>326996</v>
      </c>
    </row>
    <row r="629" spans="2:20">
      <c r="B629" s="386" t="s">
        <v>734</v>
      </c>
      <c r="C629" s="114"/>
      <c r="D629" s="111" t="s">
        <v>1546</v>
      </c>
      <c r="E629" s="111" t="s">
        <v>1758</v>
      </c>
      <c r="F629" s="111"/>
      <c r="G629" s="110" t="s">
        <v>2073</v>
      </c>
      <c r="H629" s="141">
        <v>549.87836800000002</v>
      </c>
      <c r="I629" s="280"/>
      <c r="J629" s="72">
        <v>148.52000000000001</v>
      </c>
      <c r="K629" s="271">
        <f t="shared" ref="K629:K691" si="30">J629*H629</f>
        <v>81667.935215360005</v>
      </c>
      <c r="L629" s="111"/>
      <c r="M629" s="73"/>
      <c r="N629" s="112"/>
      <c r="O629" s="111"/>
      <c r="P629" s="312">
        <v>0</v>
      </c>
      <c r="Q629" s="288">
        <f t="shared" ref="Q629:Q691" si="31">IFERROR(R629/P629,0)</f>
        <v>0</v>
      </c>
      <c r="R629" s="118">
        <v>0</v>
      </c>
      <c r="S629" s="283">
        <v>2016</v>
      </c>
      <c r="T629" s="288">
        <f t="shared" si="29"/>
        <v>88495</v>
      </c>
    </row>
    <row r="630" spans="2:20">
      <c r="B630" s="386" t="s">
        <v>735</v>
      </c>
      <c r="C630" s="114"/>
      <c r="D630" s="111" t="s">
        <v>1547</v>
      </c>
      <c r="E630" s="111" t="s">
        <v>1758</v>
      </c>
      <c r="F630" s="111"/>
      <c r="G630" s="110" t="s">
        <v>2073</v>
      </c>
      <c r="H630" s="141">
        <v>790.74732900000004</v>
      </c>
      <c r="I630" s="280"/>
      <c r="J630" s="72">
        <v>148.52000000000001</v>
      </c>
      <c r="K630" s="271">
        <f t="shared" si="30"/>
        <v>117441.79330308002</v>
      </c>
      <c r="L630" s="111"/>
      <c r="M630" s="73"/>
      <c r="N630" s="112"/>
      <c r="O630" s="111"/>
      <c r="P630" s="312">
        <v>0</v>
      </c>
      <c r="Q630" s="288">
        <f t="shared" si="31"/>
        <v>0</v>
      </c>
      <c r="R630" s="118">
        <v>0</v>
      </c>
      <c r="S630" s="283">
        <v>2016</v>
      </c>
      <c r="T630" s="288">
        <f t="shared" si="29"/>
        <v>127259</v>
      </c>
    </row>
    <row r="631" spans="2:20">
      <c r="B631" s="386" t="s">
        <v>736</v>
      </c>
      <c r="C631" s="114"/>
      <c r="D631" s="111" t="s">
        <v>1547</v>
      </c>
      <c r="E631" s="111" t="s">
        <v>1758</v>
      </c>
      <c r="F631" s="111"/>
      <c r="G631" s="110" t="s">
        <v>2074</v>
      </c>
      <c r="H631" s="141">
        <v>729.66699300000005</v>
      </c>
      <c r="I631" s="280"/>
      <c r="J631" s="72">
        <v>148.52000000000001</v>
      </c>
      <c r="K631" s="271">
        <f t="shared" si="30"/>
        <v>108370.14180036001</v>
      </c>
      <c r="L631" s="111"/>
      <c r="M631" s="73"/>
      <c r="N631" s="112"/>
      <c r="O631" s="111"/>
      <c r="P631" s="312">
        <v>0</v>
      </c>
      <c r="Q631" s="288">
        <f t="shared" si="31"/>
        <v>0</v>
      </c>
      <c r="R631" s="118">
        <v>0</v>
      </c>
      <c r="S631" s="283">
        <v>2016</v>
      </c>
      <c r="T631" s="288">
        <f t="shared" si="29"/>
        <v>117429</v>
      </c>
    </row>
    <row r="632" spans="2:20">
      <c r="B632" s="386" t="s">
        <v>737</v>
      </c>
      <c r="C632" s="114"/>
      <c r="D632" s="111" t="s">
        <v>1547</v>
      </c>
      <c r="E632" s="111" t="s">
        <v>1758</v>
      </c>
      <c r="F632" s="111"/>
      <c r="G632" s="110" t="s">
        <v>2073</v>
      </c>
      <c r="H632" s="141">
        <v>359.59076900000002</v>
      </c>
      <c r="I632" s="280"/>
      <c r="J632" s="72">
        <v>148.52000000000001</v>
      </c>
      <c r="K632" s="271">
        <f t="shared" si="30"/>
        <v>53406.421011880004</v>
      </c>
      <c r="L632" s="111"/>
      <c r="M632" s="73"/>
      <c r="N632" s="112"/>
      <c r="O632" s="111"/>
      <c r="P632" s="312">
        <v>0</v>
      </c>
      <c r="Q632" s="288">
        <f t="shared" si="31"/>
        <v>0</v>
      </c>
      <c r="R632" s="118">
        <v>0</v>
      </c>
      <c r="S632" s="283">
        <v>2016</v>
      </c>
      <c r="T632" s="288">
        <f t="shared" si="29"/>
        <v>57871</v>
      </c>
    </row>
    <row r="633" spans="2:20">
      <c r="B633" s="386" t="s">
        <v>738</v>
      </c>
      <c r="C633" s="114"/>
      <c r="D633" s="111" t="s">
        <v>1546</v>
      </c>
      <c r="E633" s="111" t="s">
        <v>1759</v>
      </c>
      <c r="F633" s="111"/>
      <c r="G633" s="110" t="s">
        <v>2073</v>
      </c>
      <c r="H633" s="141">
        <v>1400.283533</v>
      </c>
      <c r="I633" s="280"/>
      <c r="J633" s="72">
        <v>148.52000000000001</v>
      </c>
      <c r="K633" s="271">
        <f t="shared" si="30"/>
        <v>207970.11032116003</v>
      </c>
      <c r="L633" s="111"/>
      <c r="M633" s="73"/>
      <c r="N633" s="112"/>
      <c r="O633" s="111"/>
      <c r="P633" s="312">
        <v>0</v>
      </c>
      <c r="Q633" s="288">
        <f t="shared" si="31"/>
        <v>0</v>
      </c>
      <c r="R633" s="118">
        <v>0</v>
      </c>
      <c r="S633" s="283">
        <v>2016</v>
      </c>
      <c r="T633" s="288">
        <f t="shared" si="29"/>
        <v>225354</v>
      </c>
    </row>
    <row r="634" spans="2:20">
      <c r="B634" s="386" t="s">
        <v>739</v>
      </c>
      <c r="C634" s="114"/>
      <c r="D634" s="111" t="s">
        <v>1546</v>
      </c>
      <c r="E634" s="111" t="s">
        <v>1759</v>
      </c>
      <c r="F634" s="111"/>
      <c r="G634" s="110" t="s">
        <v>2073</v>
      </c>
      <c r="H634" s="141">
        <v>805.001395</v>
      </c>
      <c r="I634" s="280"/>
      <c r="J634" s="72">
        <v>148.52000000000001</v>
      </c>
      <c r="K634" s="271">
        <f t="shared" si="30"/>
        <v>119558.80718540002</v>
      </c>
      <c r="L634" s="111"/>
      <c r="M634" s="73"/>
      <c r="N634" s="112"/>
      <c r="O634" s="111"/>
      <c r="P634" s="312">
        <v>0</v>
      </c>
      <c r="Q634" s="288">
        <f t="shared" si="31"/>
        <v>0</v>
      </c>
      <c r="R634" s="118">
        <v>0</v>
      </c>
      <c r="S634" s="283">
        <v>2016</v>
      </c>
      <c r="T634" s="288">
        <f t="shared" si="29"/>
        <v>129553</v>
      </c>
    </row>
    <row r="635" spans="2:20">
      <c r="B635" s="386" t="s">
        <v>740</v>
      </c>
      <c r="C635" s="114"/>
      <c r="D635" s="111" t="s">
        <v>1546</v>
      </c>
      <c r="E635" s="111" t="s">
        <v>1759</v>
      </c>
      <c r="F635" s="111"/>
      <c r="G635" s="110" t="s">
        <v>2073</v>
      </c>
      <c r="H635" s="141">
        <v>18.583314999999999</v>
      </c>
      <c r="I635" s="280"/>
      <c r="J635" s="72">
        <v>148.52000000000001</v>
      </c>
      <c r="K635" s="271">
        <f t="shared" si="30"/>
        <v>2759.9939438000001</v>
      </c>
      <c r="L635" s="111"/>
      <c r="M635" s="73"/>
      <c r="N635" s="112"/>
      <c r="O635" s="111"/>
      <c r="P635" s="312">
        <v>0</v>
      </c>
      <c r="Q635" s="288">
        <f t="shared" si="31"/>
        <v>0</v>
      </c>
      <c r="R635" s="118">
        <v>0</v>
      </c>
      <c r="S635" s="283">
        <v>2016</v>
      </c>
      <c r="T635" s="288">
        <f t="shared" si="29"/>
        <v>2991</v>
      </c>
    </row>
    <row r="636" spans="2:20">
      <c r="B636" s="386" t="s">
        <v>741</v>
      </c>
      <c r="C636" s="114"/>
      <c r="D636" s="111" t="s">
        <v>1546</v>
      </c>
      <c r="E636" s="111" t="s">
        <v>1759</v>
      </c>
      <c r="F636" s="111"/>
      <c r="G636" s="110" t="s">
        <v>2073</v>
      </c>
      <c r="H636" s="141">
        <v>102.162019</v>
      </c>
      <c r="I636" s="280"/>
      <c r="J636" s="72">
        <v>148.52000000000001</v>
      </c>
      <c r="K636" s="271">
        <f t="shared" si="30"/>
        <v>15173.103061880001</v>
      </c>
      <c r="L636" s="111"/>
      <c r="M636" s="73"/>
      <c r="N636" s="112"/>
      <c r="O636" s="111"/>
      <c r="P636" s="312">
        <v>0</v>
      </c>
      <c r="Q636" s="288">
        <f t="shared" si="31"/>
        <v>0</v>
      </c>
      <c r="R636" s="118">
        <v>0</v>
      </c>
      <c r="S636" s="283">
        <v>2016</v>
      </c>
      <c r="T636" s="288">
        <f t="shared" si="29"/>
        <v>16441</v>
      </c>
    </row>
    <row r="637" spans="2:20">
      <c r="B637" s="386" t="s">
        <v>742</v>
      </c>
      <c r="C637" s="114"/>
      <c r="D637" s="111" t="s">
        <v>1546</v>
      </c>
      <c r="E637" s="111" t="s">
        <v>1759</v>
      </c>
      <c r="F637" s="111"/>
      <c r="G637" s="110" t="s">
        <v>2073</v>
      </c>
      <c r="H637" s="141">
        <v>8.5765069999999994</v>
      </c>
      <c r="I637" s="280"/>
      <c r="J637" s="72">
        <v>148.52000000000001</v>
      </c>
      <c r="K637" s="271">
        <f t="shared" si="30"/>
        <v>1273.7828196400001</v>
      </c>
      <c r="L637" s="111"/>
      <c r="M637" s="73"/>
      <c r="N637" s="112"/>
      <c r="O637" s="111"/>
      <c r="P637" s="312">
        <v>0</v>
      </c>
      <c r="Q637" s="288">
        <f t="shared" si="31"/>
        <v>0</v>
      </c>
      <c r="R637" s="118">
        <v>0</v>
      </c>
      <c r="S637" s="283">
        <v>2016</v>
      </c>
      <c r="T637" s="288">
        <f t="shared" si="29"/>
        <v>1380</v>
      </c>
    </row>
    <row r="638" spans="2:20">
      <c r="B638" s="386" t="s">
        <v>743</v>
      </c>
      <c r="C638" s="114"/>
      <c r="D638" s="111" t="s">
        <v>1546</v>
      </c>
      <c r="E638" s="111" t="s">
        <v>1759</v>
      </c>
      <c r="F638" s="111"/>
      <c r="G638" s="110" t="s">
        <v>2073</v>
      </c>
      <c r="H638" s="141">
        <v>1168.2338999999999</v>
      </c>
      <c r="I638" s="280"/>
      <c r="J638" s="72">
        <v>148.52000000000001</v>
      </c>
      <c r="K638" s="271">
        <f t="shared" si="30"/>
        <v>173506.09882800002</v>
      </c>
      <c r="L638" s="111"/>
      <c r="M638" s="73"/>
      <c r="N638" s="112"/>
      <c r="O638" s="111"/>
      <c r="P638" s="312">
        <v>0</v>
      </c>
      <c r="Q638" s="288">
        <f t="shared" si="31"/>
        <v>0</v>
      </c>
      <c r="R638" s="118">
        <v>0</v>
      </c>
      <c r="S638" s="283">
        <v>2016</v>
      </c>
      <c r="T638" s="288">
        <f t="shared" si="29"/>
        <v>188009</v>
      </c>
    </row>
    <row r="639" spans="2:20">
      <c r="B639" s="386" t="s">
        <v>744</v>
      </c>
      <c r="C639" s="114"/>
      <c r="D639" s="111" t="s">
        <v>1546</v>
      </c>
      <c r="E639" s="111" t="s">
        <v>1760</v>
      </c>
      <c r="F639" s="111"/>
      <c r="G639" s="110" t="s">
        <v>2073</v>
      </c>
      <c r="H639" s="141">
        <v>1391.4341870000001</v>
      </c>
      <c r="I639" s="280"/>
      <c r="J639" s="72">
        <v>148.52000000000001</v>
      </c>
      <c r="K639" s="271">
        <f t="shared" si="30"/>
        <v>206655.80545324003</v>
      </c>
      <c r="L639" s="111"/>
      <c r="M639" s="73"/>
      <c r="N639" s="112"/>
      <c r="O639" s="111"/>
      <c r="P639" s="312">
        <v>0</v>
      </c>
      <c r="Q639" s="288">
        <f t="shared" si="31"/>
        <v>0</v>
      </c>
      <c r="R639" s="118">
        <v>0</v>
      </c>
      <c r="S639" s="283">
        <v>2016</v>
      </c>
      <c r="T639" s="288">
        <f t="shared" si="29"/>
        <v>223930</v>
      </c>
    </row>
    <row r="640" spans="2:20">
      <c r="B640" s="386" t="s">
        <v>745</v>
      </c>
      <c r="C640" s="114"/>
      <c r="D640" s="111" t="s">
        <v>1546</v>
      </c>
      <c r="E640" s="111" t="s">
        <v>1760</v>
      </c>
      <c r="F640" s="111"/>
      <c r="G640" s="110" t="s">
        <v>2073</v>
      </c>
      <c r="H640" s="141">
        <v>10.725996</v>
      </c>
      <c r="I640" s="280"/>
      <c r="J640" s="72">
        <v>148.52000000000001</v>
      </c>
      <c r="K640" s="271">
        <f t="shared" si="30"/>
        <v>1593.0249259200002</v>
      </c>
      <c r="L640" s="111"/>
      <c r="M640" s="73"/>
      <c r="N640" s="112"/>
      <c r="O640" s="111"/>
      <c r="P640" s="312">
        <v>0</v>
      </c>
      <c r="Q640" s="288">
        <f t="shared" si="31"/>
        <v>0</v>
      </c>
      <c r="R640" s="118">
        <v>0</v>
      </c>
      <c r="S640" s="283">
        <v>2016</v>
      </c>
      <c r="T640" s="288">
        <f t="shared" si="29"/>
        <v>1726</v>
      </c>
    </row>
    <row r="641" spans="2:20">
      <c r="B641" s="386" t="s">
        <v>746</v>
      </c>
      <c r="C641" s="114"/>
      <c r="D641" s="111" t="s">
        <v>1546</v>
      </c>
      <c r="E641" s="111" t="s">
        <v>1761</v>
      </c>
      <c r="F641" s="111"/>
      <c r="G641" s="110" t="s">
        <v>2073</v>
      </c>
      <c r="H641" s="141">
        <v>189.16186300000001</v>
      </c>
      <c r="I641" s="280"/>
      <c r="J641" s="72">
        <v>148.52000000000001</v>
      </c>
      <c r="K641" s="271">
        <f t="shared" si="30"/>
        <v>28094.319892760002</v>
      </c>
      <c r="L641" s="111"/>
      <c r="M641" s="73"/>
      <c r="N641" s="112"/>
      <c r="O641" s="111"/>
      <c r="P641" s="312">
        <v>0</v>
      </c>
      <c r="Q641" s="288">
        <f t="shared" si="31"/>
        <v>0</v>
      </c>
      <c r="R641" s="118">
        <v>0</v>
      </c>
      <c r="S641" s="283">
        <v>2016</v>
      </c>
      <c r="T641" s="288">
        <f t="shared" si="29"/>
        <v>30443</v>
      </c>
    </row>
    <row r="642" spans="2:20">
      <c r="B642" s="386" t="s">
        <v>747</v>
      </c>
      <c r="C642" s="114"/>
      <c r="D642" s="111" t="s">
        <v>1546</v>
      </c>
      <c r="E642" s="111" t="s">
        <v>1761</v>
      </c>
      <c r="F642" s="111"/>
      <c r="G642" s="110" t="s">
        <v>2073</v>
      </c>
      <c r="H642" s="141">
        <v>162.283694</v>
      </c>
      <c r="I642" s="280"/>
      <c r="J642" s="72">
        <v>148.52000000000001</v>
      </c>
      <c r="K642" s="271">
        <f t="shared" si="30"/>
        <v>24102.37423288</v>
      </c>
      <c r="L642" s="111"/>
      <c r="M642" s="73"/>
      <c r="N642" s="112"/>
      <c r="O642" s="111"/>
      <c r="P642" s="312">
        <v>0</v>
      </c>
      <c r="Q642" s="288">
        <f t="shared" si="31"/>
        <v>0</v>
      </c>
      <c r="R642" s="118">
        <v>0</v>
      </c>
      <c r="S642" s="283">
        <v>2016</v>
      </c>
      <c r="T642" s="288">
        <f t="shared" si="29"/>
        <v>26117</v>
      </c>
    </row>
    <row r="643" spans="2:20">
      <c r="B643" s="386" t="s">
        <v>748</v>
      </c>
      <c r="C643" s="114"/>
      <c r="D643" s="111" t="s">
        <v>1546</v>
      </c>
      <c r="E643" s="111" t="s">
        <v>1761</v>
      </c>
      <c r="F643" s="111"/>
      <c r="G643" s="110" t="s">
        <v>2073</v>
      </c>
      <c r="H643" s="141">
        <v>701.59221500000001</v>
      </c>
      <c r="I643" s="280"/>
      <c r="J643" s="72">
        <v>148.52000000000001</v>
      </c>
      <c r="K643" s="271">
        <f t="shared" si="30"/>
        <v>104200.4757718</v>
      </c>
      <c r="L643" s="111"/>
      <c r="M643" s="73"/>
      <c r="N643" s="112"/>
      <c r="O643" s="111"/>
      <c r="P643" s="312">
        <v>0</v>
      </c>
      <c r="Q643" s="288">
        <f t="shared" si="31"/>
        <v>0</v>
      </c>
      <c r="R643" s="118">
        <v>0</v>
      </c>
      <c r="S643" s="283">
        <v>2016</v>
      </c>
      <c r="T643" s="288">
        <f t="shared" si="29"/>
        <v>112911</v>
      </c>
    </row>
    <row r="644" spans="2:20">
      <c r="B644" s="386" t="s">
        <v>749</v>
      </c>
      <c r="C644" s="114"/>
      <c r="D644" s="111" t="s">
        <v>1547</v>
      </c>
      <c r="E644" s="111" t="s">
        <v>1761</v>
      </c>
      <c r="F644" s="111"/>
      <c r="G644" s="110" t="s">
        <v>2073</v>
      </c>
      <c r="H644" s="141">
        <v>190.48659000000001</v>
      </c>
      <c r="I644" s="280"/>
      <c r="J644" s="72">
        <v>148.52000000000001</v>
      </c>
      <c r="K644" s="271">
        <f t="shared" si="30"/>
        <v>28291.068346800002</v>
      </c>
      <c r="L644" s="111"/>
      <c r="M644" s="73"/>
      <c r="N644" s="112"/>
      <c r="O644" s="111"/>
      <c r="P644" s="312">
        <v>0</v>
      </c>
      <c r="Q644" s="288">
        <f t="shared" si="31"/>
        <v>0</v>
      </c>
      <c r="R644" s="118">
        <v>0</v>
      </c>
      <c r="S644" s="283">
        <v>2016</v>
      </c>
      <c r="T644" s="288">
        <f t="shared" si="29"/>
        <v>30656</v>
      </c>
    </row>
    <row r="645" spans="2:20">
      <c r="B645" s="386" t="s">
        <v>750</v>
      </c>
      <c r="C645" s="114"/>
      <c r="D645" s="111" t="s">
        <v>1547</v>
      </c>
      <c r="E645" s="111" t="s">
        <v>1761</v>
      </c>
      <c r="F645" s="111"/>
      <c r="G645" s="110" t="s">
        <v>2073</v>
      </c>
      <c r="H645" s="141">
        <v>35.593240999999999</v>
      </c>
      <c r="I645" s="280"/>
      <c r="J645" s="72">
        <v>148.52000000000001</v>
      </c>
      <c r="K645" s="271">
        <f t="shared" si="30"/>
        <v>5286.3081533200002</v>
      </c>
      <c r="L645" s="111"/>
      <c r="M645" s="73"/>
      <c r="N645" s="112"/>
      <c r="O645" s="111"/>
      <c r="P645" s="312">
        <v>0</v>
      </c>
      <c r="Q645" s="288">
        <f t="shared" si="31"/>
        <v>0</v>
      </c>
      <c r="R645" s="118">
        <v>0</v>
      </c>
      <c r="S645" s="283">
        <v>2016</v>
      </c>
      <c r="T645" s="288">
        <f t="shared" si="29"/>
        <v>5728</v>
      </c>
    </row>
    <row r="646" spans="2:20">
      <c r="B646" s="386" t="s">
        <v>751</v>
      </c>
      <c r="C646" s="114"/>
      <c r="D646" s="111" t="s">
        <v>1546</v>
      </c>
      <c r="E646" s="111" t="s">
        <v>1762</v>
      </c>
      <c r="F646" s="111"/>
      <c r="G646" s="110" t="s">
        <v>2073</v>
      </c>
      <c r="H646" s="141">
        <v>65.151066</v>
      </c>
      <c r="I646" s="280"/>
      <c r="J646" s="72">
        <v>148.52000000000001</v>
      </c>
      <c r="K646" s="271">
        <f t="shared" si="30"/>
        <v>9676.2363223200009</v>
      </c>
      <c r="L646" s="111"/>
      <c r="M646" s="73"/>
      <c r="N646" s="112"/>
      <c r="O646" s="111"/>
      <c r="P646" s="312">
        <v>4.16885539</v>
      </c>
      <c r="Q646" s="288">
        <f t="shared" si="31"/>
        <v>160.62188667091183</v>
      </c>
      <c r="R646" s="118">
        <v>669.60941800000001</v>
      </c>
      <c r="S646" s="283">
        <v>2016</v>
      </c>
      <c r="T646" s="288">
        <f t="shared" si="29"/>
        <v>11212</v>
      </c>
    </row>
    <row r="647" spans="2:20">
      <c r="B647" s="386" t="s">
        <v>752</v>
      </c>
      <c r="C647" s="114"/>
      <c r="D647" s="111" t="s">
        <v>1546</v>
      </c>
      <c r="E647" s="111" t="s">
        <v>1762</v>
      </c>
      <c r="F647" s="111"/>
      <c r="G647" s="110" t="s">
        <v>2073</v>
      </c>
      <c r="H647" s="141">
        <v>217.862695</v>
      </c>
      <c r="I647" s="280"/>
      <c r="J647" s="72">
        <v>148.52000000000001</v>
      </c>
      <c r="K647" s="271">
        <f t="shared" si="30"/>
        <v>32356.967461400003</v>
      </c>
      <c r="L647" s="111"/>
      <c r="M647" s="73"/>
      <c r="N647" s="112"/>
      <c r="O647" s="111"/>
      <c r="P647" s="312">
        <v>0</v>
      </c>
      <c r="Q647" s="288">
        <f t="shared" si="31"/>
        <v>0</v>
      </c>
      <c r="R647" s="118">
        <v>0</v>
      </c>
      <c r="S647" s="283">
        <v>2016</v>
      </c>
      <c r="T647" s="288">
        <f t="shared" si="29"/>
        <v>35062</v>
      </c>
    </row>
    <row r="648" spans="2:20">
      <c r="B648" s="386" t="s">
        <v>753</v>
      </c>
      <c r="C648" s="114"/>
      <c r="D648" s="111" t="s">
        <v>1546</v>
      </c>
      <c r="E648" s="111" t="s">
        <v>1762</v>
      </c>
      <c r="F648" s="111"/>
      <c r="G648" s="110" t="s">
        <v>2073</v>
      </c>
      <c r="H648" s="141">
        <v>2065.2648380000001</v>
      </c>
      <c r="I648" s="280"/>
      <c r="J648" s="72">
        <v>148.52000000000001</v>
      </c>
      <c r="K648" s="271">
        <f t="shared" si="30"/>
        <v>306733.13373976003</v>
      </c>
      <c r="L648" s="111"/>
      <c r="M648" s="73"/>
      <c r="N648" s="112"/>
      <c r="O648" s="111"/>
      <c r="P648" s="312">
        <v>0</v>
      </c>
      <c r="Q648" s="288">
        <f t="shared" si="31"/>
        <v>0</v>
      </c>
      <c r="R648" s="118">
        <v>0</v>
      </c>
      <c r="S648" s="283">
        <v>2016</v>
      </c>
      <c r="T648" s="288">
        <f t="shared" si="29"/>
        <v>332373</v>
      </c>
    </row>
    <row r="649" spans="2:20">
      <c r="B649" s="386" t="s">
        <v>754</v>
      </c>
      <c r="C649" s="114"/>
      <c r="D649" s="111" t="s">
        <v>1546</v>
      </c>
      <c r="E649" s="111" t="s">
        <v>1762</v>
      </c>
      <c r="F649" s="111"/>
      <c r="G649" s="110" t="s">
        <v>2073</v>
      </c>
      <c r="H649" s="141">
        <v>71.760064999999997</v>
      </c>
      <c r="I649" s="280"/>
      <c r="J649" s="72">
        <v>148.52000000000001</v>
      </c>
      <c r="K649" s="271">
        <f t="shared" si="30"/>
        <v>10657.8048538</v>
      </c>
      <c r="L649" s="111"/>
      <c r="M649" s="73"/>
      <c r="N649" s="112"/>
      <c r="O649" s="111"/>
      <c r="P649" s="312">
        <v>0</v>
      </c>
      <c r="Q649" s="288">
        <f t="shared" si="31"/>
        <v>0</v>
      </c>
      <c r="R649" s="118">
        <v>0</v>
      </c>
      <c r="S649" s="283">
        <v>2016</v>
      </c>
      <c r="T649" s="288">
        <f t="shared" si="29"/>
        <v>11549</v>
      </c>
    </row>
    <row r="650" spans="2:20">
      <c r="B650" s="386" t="s">
        <v>755</v>
      </c>
      <c r="C650" s="114"/>
      <c r="D650" s="111" t="s">
        <v>1547</v>
      </c>
      <c r="E650" s="111" t="s">
        <v>1763</v>
      </c>
      <c r="F650" s="111"/>
      <c r="G650" s="110" t="s">
        <v>2074</v>
      </c>
      <c r="H650" s="141">
        <v>340.71042599999998</v>
      </c>
      <c r="I650" s="280"/>
      <c r="J650" s="72">
        <v>148.52000000000001</v>
      </c>
      <c r="K650" s="271">
        <f t="shared" si="30"/>
        <v>50602.312469520002</v>
      </c>
      <c r="L650" s="111"/>
      <c r="M650" s="73"/>
      <c r="N650" s="112"/>
      <c r="O650" s="111"/>
      <c r="P650" s="312">
        <v>0</v>
      </c>
      <c r="Q650" s="288">
        <f t="shared" si="31"/>
        <v>0</v>
      </c>
      <c r="R650" s="118">
        <v>0</v>
      </c>
      <c r="S650" s="283">
        <v>2016</v>
      </c>
      <c r="T650" s="288">
        <f t="shared" si="29"/>
        <v>54832</v>
      </c>
    </row>
    <row r="651" spans="2:20">
      <c r="B651" s="386" t="s">
        <v>756</v>
      </c>
      <c r="C651" s="114"/>
      <c r="D651" s="111" t="s">
        <v>1547</v>
      </c>
      <c r="E651" s="111" t="s">
        <v>1763</v>
      </c>
      <c r="F651" s="111"/>
      <c r="G651" s="110" t="s">
        <v>2073</v>
      </c>
      <c r="H651" s="141">
        <v>9.2168369999999999</v>
      </c>
      <c r="I651" s="280"/>
      <c r="J651" s="72">
        <v>148.52000000000001</v>
      </c>
      <c r="K651" s="271">
        <f t="shared" si="30"/>
        <v>1368.8846312400001</v>
      </c>
      <c r="L651" s="111"/>
      <c r="M651" s="73"/>
      <c r="N651" s="112"/>
      <c r="O651" s="111"/>
      <c r="P651" s="312">
        <v>0</v>
      </c>
      <c r="Q651" s="288">
        <f t="shared" si="31"/>
        <v>0</v>
      </c>
      <c r="R651" s="118">
        <v>0</v>
      </c>
      <c r="S651" s="283">
        <v>2016</v>
      </c>
      <c r="T651" s="288">
        <f t="shared" si="29"/>
        <v>1483</v>
      </c>
    </row>
    <row r="652" spans="2:20">
      <c r="B652" s="386" t="s">
        <v>757</v>
      </c>
      <c r="C652" s="114"/>
      <c r="D652" s="111" t="s">
        <v>1546</v>
      </c>
      <c r="E652" s="111" t="s">
        <v>1764</v>
      </c>
      <c r="F652" s="111"/>
      <c r="G652" s="110" t="s">
        <v>2073</v>
      </c>
      <c r="H652" s="141">
        <v>1577.310299</v>
      </c>
      <c r="I652" s="280"/>
      <c r="J652" s="72">
        <v>148.52000000000001</v>
      </c>
      <c r="K652" s="271">
        <f t="shared" si="30"/>
        <v>234262.12560748</v>
      </c>
      <c r="L652" s="111"/>
      <c r="M652" s="73"/>
      <c r="N652" s="112"/>
      <c r="O652" s="111"/>
      <c r="P652" s="312">
        <v>0</v>
      </c>
      <c r="Q652" s="288">
        <f t="shared" si="31"/>
        <v>0</v>
      </c>
      <c r="R652" s="118">
        <v>0</v>
      </c>
      <c r="S652" s="283">
        <v>2016</v>
      </c>
      <c r="T652" s="288">
        <f t="shared" si="29"/>
        <v>253844</v>
      </c>
    </row>
    <row r="653" spans="2:20">
      <c r="B653" s="386" t="s">
        <v>758</v>
      </c>
      <c r="C653" s="114"/>
      <c r="D653" s="111" t="s">
        <v>1546</v>
      </c>
      <c r="E653" s="111" t="s">
        <v>1764</v>
      </c>
      <c r="F653" s="111"/>
      <c r="G653" s="110" t="s">
        <v>2073</v>
      </c>
      <c r="H653" s="141">
        <v>57.806489999999997</v>
      </c>
      <c r="I653" s="280"/>
      <c r="J653" s="72">
        <v>148.52000000000001</v>
      </c>
      <c r="K653" s="271">
        <f t="shared" si="30"/>
        <v>8585.4198947999994</v>
      </c>
      <c r="L653" s="111"/>
      <c r="M653" s="73"/>
      <c r="N653" s="112"/>
      <c r="O653" s="111"/>
      <c r="P653" s="312">
        <v>0</v>
      </c>
      <c r="Q653" s="288">
        <f t="shared" si="31"/>
        <v>0</v>
      </c>
      <c r="R653" s="118">
        <v>0</v>
      </c>
      <c r="S653" s="283">
        <v>2016</v>
      </c>
      <c r="T653" s="288">
        <f t="shared" ref="T653:T716" si="32">IFERROR(ROUND((K653*(1+PPI_Existing)^(YEAR-S653))+(R653*((1+LandInd_Existing)^(YEAR-S653))),0),0)</f>
        <v>9303</v>
      </c>
    </row>
    <row r="654" spans="2:20">
      <c r="B654" s="386" t="s">
        <v>759</v>
      </c>
      <c r="C654" s="114"/>
      <c r="D654" s="111" t="s">
        <v>1546</v>
      </c>
      <c r="E654" s="111" t="s">
        <v>1764</v>
      </c>
      <c r="F654" s="111"/>
      <c r="G654" s="110" t="s">
        <v>2073</v>
      </c>
      <c r="H654" s="141">
        <v>82.213497000000004</v>
      </c>
      <c r="I654" s="280"/>
      <c r="J654" s="72">
        <v>148.52000000000001</v>
      </c>
      <c r="K654" s="271">
        <f t="shared" si="30"/>
        <v>12210.348574440002</v>
      </c>
      <c r="L654" s="111"/>
      <c r="M654" s="73"/>
      <c r="N654" s="112"/>
      <c r="O654" s="111"/>
      <c r="P654" s="312">
        <v>0</v>
      </c>
      <c r="Q654" s="288">
        <f t="shared" si="31"/>
        <v>0</v>
      </c>
      <c r="R654" s="118">
        <v>0</v>
      </c>
      <c r="S654" s="283">
        <v>2016</v>
      </c>
      <c r="T654" s="288">
        <f t="shared" si="32"/>
        <v>13231</v>
      </c>
    </row>
    <row r="655" spans="2:20">
      <c r="B655" s="386" t="s">
        <v>760</v>
      </c>
      <c r="C655" s="114"/>
      <c r="D655" s="111" t="s">
        <v>1546</v>
      </c>
      <c r="E655" s="111" t="s">
        <v>1764</v>
      </c>
      <c r="F655" s="111"/>
      <c r="G655" s="110" t="s">
        <v>2073</v>
      </c>
      <c r="H655" s="141">
        <v>14.702087000000001</v>
      </c>
      <c r="I655" s="280"/>
      <c r="J655" s="72">
        <v>148.52000000000001</v>
      </c>
      <c r="K655" s="271">
        <f t="shared" si="30"/>
        <v>2183.5539612400003</v>
      </c>
      <c r="L655" s="111"/>
      <c r="M655" s="73"/>
      <c r="N655" s="112"/>
      <c r="O655" s="111"/>
      <c r="P655" s="312">
        <v>0</v>
      </c>
      <c r="Q655" s="288">
        <f t="shared" si="31"/>
        <v>0</v>
      </c>
      <c r="R655" s="118">
        <v>0</v>
      </c>
      <c r="S655" s="283">
        <v>2016</v>
      </c>
      <c r="T655" s="288">
        <f t="shared" si="32"/>
        <v>2366</v>
      </c>
    </row>
    <row r="656" spans="2:20">
      <c r="B656" s="386" t="s">
        <v>761</v>
      </c>
      <c r="C656" s="114"/>
      <c r="D656" s="111" t="s">
        <v>1546</v>
      </c>
      <c r="E656" s="111" t="s">
        <v>1765</v>
      </c>
      <c r="F656" s="111"/>
      <c r="G656" s="110" t="s">
        <v>2073</v>
      </c>
      <c r="H656" s="141">
        <v>475.45096599999999</v>
      </c>
      <c r="I656" s="280"/>
      <c r="J656" s="72">
        <v>148.52000000000001</v>
      </c>
      <c r="K656" s="271">
        <f t="shared" si="30"/>
        <v>70613.977470320009</v>
      </c>
      <c r="L656" s="111"/>
      <c r="M656" s="73"/>
      <c r="N656" s="112"/>
      <c r="O656" s="111"/>
      <c r="P656" s="312">
        <v>0</v>
      </c>
      <c r="Q656" s="288">
        <f t="shared" si="31"/>
        <v>0</v>
      </c>
      <c r="R656" s="118">
        <v>0</v>
      </c>
      <c r="S656" s="283">
        <v>2016</v>
      </c>
      <c r="T656" s="288">
        <f t="shared" si="32"/>
        <v>76517</v>
      </c>
    </row>
    <row r="657" spans="2:20">
      <c r="B657" s="386" t="s">
        <v>762</v>
      </c>
      <c r="C657" s="114"/>
      <c r="D657" s="111" t="s">
        <v>1547</v>
      </c>
      <c r="E657" s="111" t="s">
        <v>1766</v>
      </c>
      <c r="F657" s="111"/>
      <c r="G657" s="110" t="s">
        <v>2073</v>
      </c>
      <c r="H657" s="141">
        <v>10.618653</v>
      </c>
      <c r="I657" s="280"/>
      <c r="J657" s="72">
        <v>148.52000000000001</v>
      </c>
      <c r="K657" s="271">
        <f t="shared" si="30"/>
        <v>1577.08234356</v>
      </c>
      <c r="L657" s="111"/>
      <c r="M657" s="73"/>
      <c r="N657" s="112"/>
      <c r="O657" s="111"/>
      <c r="P657" s="312">
        <v>0</v>
      </c>
      <c r="Q657" s="288">
        <f t="shared" si="31"/>
        <v>0</v>
      </c>
      <c r="R657" s="118">
        <v>0</v>
      </c>
      <c r="S657" s="283">
        <v>2016</v>
      </c>
      <c r="T657" s="288">
        <f t="shared" si="32"/>
        <v>1709</v>
      </c>
    </row>
    <row r="658" spans="2:20">
      <c r="B658" s="386" t="s">
        <v>763</v>
      </c>
      <c r="C658" s="114"/>
      <c r="D658" s="111" t="s">
        <v>1547</v>
      </c>
      <c r="E658" s="111" t="s">
        <v>1766</v>
      </c>
      <c r="F658" s="111"/>
      <c r="G658" s="110" t="s">
        <v>2073</v>
      </c>
      <c r="H658" s="141">
        <v>9.3351959999999998</v>
      </c>
      <c r="I658" s="280"/>
      <c r="J658" s="72">
        <v>148.52000000000001</v>
      </c>
      <c r="K658" s="271">
        <f t="shared" si="30"/>
        <v>1386.46330992</v>
      </c>
      <c r="L658" s="111"/>
      <c r="M658" s="73"/>
      <c r="N658" s="112"/>
      <c r="O658" s="111"/>
      <c r="P658" s="312">
        <v>0</v>
      </c>
      <c r="Q658" s="288">
        <f t="shared" si="31"/>
        <v>0</v>
      </c>
      <c r="R658" s="118">
        <v>0</v>
      </c>
      <c r="S658" s="283">
        <v>2016</v>
      </c>
      <c r="T658" s="288">
        <f t="shared" si="32"/>
        <v>1502</v>
      </c>
    </row>
    <row r="659" spans="2:20">
      <c r="B659" s="386" t="s">
        <v>764</v>
      </c>
      <c r="C659" s="114"/>
      <c r="D659" s="111" t="s">
        <v>1546</v>
      </c>
      <c r="E659" s="111" t="s">
        <v>1767</v>
      </c>
      <c r="F659" s="111"/>
      <c r="G659" s="110" t="s">
        <v>2073</v>
      </c>
      <c r="H659" s="141">
        <v>1161.27854</v>
      </c>
      <c r="I659" s="280"/>
      <c r="J659" s="72">
        <v>148.52000000000001</v>
      </c>
      <c r="K659" s="271">
        <f t="shared" si="30"/>
        <v>172473.08876080002</v>
      </c>
      <c r="L659" s="111"/>
      <c r="M659" s="73"/>
      <c r="N659" s="112"/>
      <c r="O659" s="111"/>
      <c r="P659" s="312">
        <v>0</v>
      </c>
      <c r="Q659" s="288">
        <f t="shared" si="31"/>
        <v>0</v>
      </c>
      <c r="R659" s="118">
        <v>0</v>
      </c>
      <c r="S659" s="283">
        <v>2016</v>
      </c>
      <c r="T659" s="288">
        <f t="shared" si="32"/>
        <v>186890</v>
      </c>
    </row>
    <row r="660" spans="2:20">
      <c r="B660" s="386" t="s">
        <v>765</v>
      </c>
      <c r="C660" s="114"/>
      <c r="D660" s="111" t="s">
        <v>1547</v>
      </c>
      <c r="E660" s="111" t="s">
        <v>1767</v>
      </c>
      <c r="F660" s="111"/>
      <c r="G660" s="110" t="s">
        <v>2073</v>
      </c>
      <c r="H660" s="141">
        <v>50.866888000000003</v>
      </c>
      <c r="I660" s="280"/>
      <c r="J660" s="72">
        <v>148.52000000000001</v>
      </c>
      <c r="K660" s="271">
        <f t="shared" si="30"/>
        <v>7554.7502057600013</v>
      </c>
      <c r="L660" s="111"/>
      <c r="M660" s="73"/>
      <c r="N660" s="112"/>
      <c r="O660" s="111"/>
      <c r="P660" s="312">
        <v>0</v>
      </c>
      <c r="Q660" s="288">
        <f t="shared" si="31"/>
        <v>0</v>
      </c>
      <c r="R660" s="118">
        <v>0</v>
      </c>
      <c r="S660" s="283">
        <v>2016</v>
      </c>
      <c r="T660" s="288">
        <f t="shared" si="32"/>
        <v>8186</v>
      </c>
    </row>
    <row r="661" spans="2:20">
      <c r="B661" s="386" t="s">
        <v>766</v>
      </c>
      <c r="C661" s="114"/>
      <c r="D661" s="111" t="s">
        <v>1547</v>
      </c>
      <c r="E661" s="111" t="s">
        <v>1634</v>
      </c>
      <c r="F661" s="111"/>
      <c r="G661" s="110" t="s">
        <v>2073</v>
      </c>
      <c r="H661" s="141">
        <v>223.70029099999999</v>
      </c>
      <c r="I661" s="280"/>
      <c r="J661" s="72">
        <v>148.52000000000001</v>
      </c>
      <c r="K661" s="271">
        <f t="shared" si="30"/>
        <v>33223.967219320002</v>
      </c>
      <c r="L661" s="111"/>
      <c r="M661" s="73"/>
      <c r="N661" s="112"/>
      <c r="O661" s="111"/>
      <c r="P661" s="312">
        <v>0</v>
      </c>
      <c r="Q661" s="288">
        <f t="shared" si="31"/>
        <v>0</v>
      </c>
      <c r="R661" s="118">
        <v>0</v>
      </c>
      <c r="S661" s="283">
        <v>2016</v>
      </c>
      <c r="T661" s="288">
        <f t="shared" si="32"/>
        <v>36001</v>
      </c>
    </row>
    <row r="662" spans="2:20">
      <c r="B662" s="386" t="s">
        <v>767</v>
      </c>
      <c r="C662" s="114"/>
      <c r="D662" s="111" t="s">
        <v>1547</v>
      </c>
      <c r="E662" s="111" t="s">
        <v>1634</v>
      </c>
      <c r="F662" s="111"/>
      <c r="G662" s="110" t="s">
        <v>2073</v>
      </c>
      <c r="H662" s="141">
        <v>61.594929</v>
      </c>
      <c r="I662" s="280"/>
      <c r="J662" s="72">
        <v>148.52000000000001</v>
      </c>
      <c r="K662" s="271">
        <f t="shared" si="30"/>
        <v>9148.0788550800007</v>
      </c>
      <c r="L662" s="111"/>
      <c r="M662" s="73"/>
      <c r="N662" s="112"/>
      <c r="O662" s="111"/>
      <c r="P662" s="312">
        <v>0</v>
      </c>
      <c r="Q662" s="288">
        <f t="shared" si="31"/>
        <v>0</v>
      </c>
      <c r="R662" s="118">
        <v>0</v>
      </c>
      <c r="S662" s="283">
        <v>2016</v>
      </c>
      <c r="T662" s="288">
        <f t="shared" si="32"/>
        <v>9913</v>
      </c>
    </row>
    <row r="663" spans="2:20">
      <c r="B663" s="386" t="s">
        <v>768</v>
      </c>
      <c r="C663" s="114"/>
      <c r="D663" s="111" t="s">
        <v>1547</v>
      </c>
      <c r="E663" s="111" t="s">
        <v>1634</v>
      </c>
      <c r="F663" s="111"/>
      <c r="G663" s="110" t="s">
        <v>2073</v>
      </c>
      <c r="H663" s="141">
        <v>238.87315699999999</v>
      </c>
      <c r="I663" s="280"/>
      <c r="J663" s="72">
        <v>148.52000000000001</v>
      </c>
      <c r="K663" s="271">
        <f t="shared" si="30"/>
        <v>35477.441277639999</v>
      </c>
      <c r="L663" s="111"/>
      <c r="M663" s="73"/>
      <c r="N663" s="112"/>
      <c r="O663" s="111"/>
      <c r="P663" s="312">
        <v>0</v>
      </c>
      <c r="Q663" s="288">
        <f t="shared" si="31"/>
        <v>0</v>
      </c>
      <c r="R663" s="118">
        <v>0</v>
      </c>
      <c r="S663" s="283">
        <v>2016</v>
      </c>
      <c r="T663" s="288">
        <f t="shared" si="32"/>
        <v>38443</v>
      </c>
    </row>
    <row r="664" spans="2:20">
      <c r="B664" s="386" t="s">
        <v>769</v>
      </c>
      <c r="C664" s="114"/>
      <c r="D664" s="111" t="s">
        <v>1547</v>
      </c>
      <c r="E664" s="111" t="s">
        <v>1634</v>
      </c>
      <c r="F664" s="111"/>
      <c r="G664" s="110" t="s">
        <v>2073</v>
      </c>
      <c r="H664" s="141">
        <v>18.345831</v>
      </c>
      <c r="I664" s="280"/>
      <c r="J664" s="72">
        <v>148.52000000000001</v>
      </c>
      <c r="K664" s="271">
        <f t="shared" si="30"/>
        <v>2724.7228201200001</v>
      </c>
      <c r="L664" s="111"/>
      <c r="M664" s="73"/>
      <c r="N664" s="112"/>
      <c r="O664" s="111"/>
      <c r="P664" s="312">
        <v>0</v>
      </c>
      <c r="Q664" s="288">
        <f t="shared" si="31"/>
        <v>0</v>
      </c>
      <c r="R664" s="118">
        <v>0</v>
      </c>
      <c r="S664" s="283">
        <v>2016</v>
      </c>
      <c r="T664" s="288">
        <f t="shared" si="32"/>
        <v>2952</v>
      </c>
    </row>
    <row r="665" spans="2:20">
      <c r="B665" s="386" t="s">
        <v>770</v>
      </c>
      <c r="C665" s="114"/>
      <c r="D665" s="111" t="s">
        <v>1547</v>
      </c>
      <c r="E665" s="111" t="s">
        <v>1634</v>
      </c>
      <c r="F665" s="111"/>
      <c r="G665" s="110" t="s">
        <v>2073</v>
      </c>
      <c r="H665" s="141">
        <v>24.143899000000001</v>
      </c>
      <c r="I665" s="280"/>
      <c r="J665" s="72">
        <v>148.52000000000001</v>
      </c>
      <c r="K665" s="271">
        <f t="shared" si="30"/>
        <v>3585.8518794800002</v>
      </c>
      <c r="L665" s="111"/>
      <c r="M665" s="73"/>
      <c r="N665" s="112"/>
      <c r="O665" s="111"/>
      <c r="P665" s="312">
        <v>0</v>
      </c>
      <c r="Q665" s="288">
        <f t="shared" si="31"/>
        <v>0</v>
      </c>
      <c r="R665" s="118">
        <v>0</v>
      </c>
      <c r="S665" s="283">
        <v>2016</v>
      </c>
      <c r="T665" s="288">
        <f t="shared" si="32"/>
        <v>3886</v>
      </c>
    </row>
    <row r="666" spans="2:20">
      <c r="B666" s="386" t="s">
        <v>771</v>
      </c>
      <c r="C666" s="114"/>
      <c r="D666" s="111" t="s">
        <v>1547</v>
      </c>
      <c r="E666" s="111" t="s">
        <v>1634</v>
      </c>
      <c r="F666" s="111"/>
      <c r="G666" s="110" t="s">
        <v>2073</v>
      </c>
      <c r="H666" s="141">
        <v>19.262701</v>
      </c>
      <c r="I666" s="280"/>
      <c r="J666" s="72">
        <v>148.52000000000001</v>
      </c>
      <c r="K666" s="271">
        <f t="shared" si="30"/>
        <v>2860.8963525200002</v>
      </c>
      <c r="L666" s="111"/>
      <c r="M666" s="73"/>
      <c r="N666" s="112"/>
      <c r="O666" s="111"/>
      <c r="P666" s="312">
        <v>0</v>
      </c>
      <c r="Q666" s="288">
        <f t="shared" si="31"/>
        <v>0</v>
      </c>
      <c r="R666" s="118">
        <v>0</v>
      </c>
      <c r="S666" s="283">
        <v>2016</v>
      </c>
      <c r="T666" s="288">
        <f t="shared" si="32"/>
        <v>3100</v>
      </c>
    </row>
    <row r="667" spans="2:20">
      <c r="B667" s="386" t="s">
        <v>772</v>
      </c>
      <c r="C667" s="114"/>
      <c r="D667" s="111" t="s">
        <v>1547</v>
      </c>
      <c r="E667" s="111" t="s">
        <v>1768</v>
      </c>
      <c r="F667" s="111"/>
      <c r="G667" s="110" t="s">
        <v>2073</v>
      </c>
      <c r="H667" s="141">
        <v>348.59592300000003</v>
      </c>
      <c r="I667" s="280"/>
      <c r="J667" s="72">
        <v>148.52000000000001</v>
      </c>
      <c r="K667" s="271">
        <f t="shared" si="30"/>
        <v>51773.466483960008</v>
      </c>
      <c r="L667" s="111"/>
      <c r="M667" s="73"/>
      <c r="N667" s="112"/>
      <c r="O667" s="111"/>
      <c r="P667" s="312">
        <v>0</v>
      </c>
      <c r="Q667" s="288">
        <f t="shared" si="31"/>
        <v>0</v>
      </c>
      <c r="R667" s="118">
        <v>0</v>
      </c>
      <c r="S667" s="283">
        <v>2016</v>
      </c>
      <c r="T667" s="288">
        <f t="shared" si="32"/>
        <v>56101</v>
      </c>
    </row>
    <row r="668" spans="2:20">
      <c r="B668" s="386" t="s">
        <v>773</v>
      </c>
      <c r="C668" s="114"/>
      <c r="D668" s="111" t="s">
        <v>1547</v>
      </c>
      <c r="E668" s="111" t="s">
        <v>1768</v>
      </c>
      <c r="F668" s="111"/>
      <c r="G668" s="110" t="s">
        <v>2073</v>
      </c>
      <c r="H668" s="141">
        <v>318.94341300000002</v>
      </c>
      <c r="I668" s="280"/>
      <c r="J668" s="72">
        <v>148.52000000000001</v>
      </c>
      <c r="K668" s="271">
        <f t="shared" si="30"/>
        <v>47369.475698760005</v>
      </c>
      <c r="L668" s="111"/>
      <c r="M668" s="73"/>
      <c r="N668" s="112"/>
      <c r="O668" s="111"/>
      <c r="P668" s="312">
        <v>0</v>
      </c>
      <c r="Q668" s="288">
        <f t="shared" si="31"/>
        <v>0</v>
      </c>
      <c r="R668" s="118">
        <v>0</v>
      </c>
      <c r="S668" s="283">
        <v>2016</v>
      </c>
      <c r="T668" s="288">
        <f t="shared" si="32"/>
        <v>51329</v>
      </c>
    </row>
    <row r="669" spans="2:20">
      <c r="B669" s="386" t="s">
        <v>774</v>
      </c>
      <c r="C669" s="114"/>
      <c r="D669" s="111" t="s">
        <v>1546</v>
      </c>
      <c r="E669" s="111" t="s">
        <v>1769</v>
      </c>
      <c r="F669" s="111"/>
      <c r="G669" s="110" t="s">
        <v>2073</v>
      </c>
      <c r="H669" s="141">
        <v>1190.3180139999999</v>
      </c>
      <c r="I669" s="280"/>
      <c r="J669" s="72">
        <v>148.52000000000001</v>
      </c>
      <c r="K669" s="271">
        <f t="shared" si="30"/>
        <v>176786.03143927999</v>
      </c>
      <c r="L669" s="111"/>
      <c r="M669" s="73"/>
      <c r="N669" s="112"/>
      <c r="O669" s="111"/>
      <c r="P669" s="312">
        <v>0</v>
      </c>
      <c r="Q669" s="288">
        <f t="shared" si="31"/>
        <v>0</v>
      </c>
      <c r="R669" s="118">
        <v>0</v>
      </c>
      <c r="S669" s="283">
        <v>2016</v>
      </c>
      <c r="T669" s="288">
        <f t="shared" si="32"/>
        <v>191564</v>
      </c>
    </row>
    <row r="670" spans="2:20">
      <c r="B670" s="386" t="s">
        <v>775</v>
      </c>
      <c r="C670" s="114"/>
      <c r="D670" s="111" t="s">
        <v>1547</v>
      </c>
      <c r="E670" s="111" t="s">
        <v>1769</v>
      </c>
      <c r="F670" s="111"/>
      <c r="G670" s="110" t="s">
        <v>2073</v>
      </c>
      <c r="H670" s="141">
        <v>844.24876900000004</v>
      </c>
      <c r="I670" s="280"/>
      <c r="J670" s="72">
        <v>148.52000000000001</v>
      </c>
      <c r="K670" s="271">
        <f t="shared" si="30"/>
        <v>125387.82717188001</v>
      </c>
      <c r="L670" s="111"/>
      <c r="M670" s="73"/>
      <c r="N670" s="112"/>
      <c r="O670" s="111"/>
      <c r="P670" s="312">
        <v>0</v>
      </c>
      <c r="Q670" s="288">
        <f t="shared" si="31"/>
        <v>0</v>
      </c>
      <c r="R670" s="118">
        <v>0</v>
      </c>
      <c r="S670" s="283">
        <v>2016</v>
      </c>
      <c r="T670" s="288">
        <f t="shared" si="32"/>
        <v>135869</v>
      </c>
    </row>
    <row r="671" spans="2:20">
      <c r="B671" s="386" t="s">
        <v>776</v>
      </c>
      <c r="C671" s="114"/>
      <c r="D671" s="111" t="s">
        <v>1547</v>
      </c>
      <c r="E671" s="111" t="s">
        <v>1770</v>
      </c>
      <c r="F671" s="111"/>
      <c r="G671" s="110" t="s">
        <v>2073</v>
      </c>
      <c r="H671" s="141">
        <v>110.940787</v>
      </c>
      <c r="I671" s="280"/>
      <c r="J671" s="72">
        <v>148.52000000000001</v>
      </c>
      <c r="K671" s="271">
        <f t="shared" si="30"/>
        <v>16476.925685239999</v>
      </c>
      <c r="L671" s="111"/>
      <c r="M671" s="73"/>
      <c r="N671" s="112"/>
      <c r="O671" s="111"/>
      <c r="P671" s="312">
        <v>0</v>
      </c>
      <c r="Q671" s="288">
        <f t="shared" si="31"/>
        <v>0</v>
      </c>
      <c r="R671" s="118">
        <v>0</v>
      </c>
      <c r="S671" s="283">
        <v>2016</v>
      </c>
      <c r="T671" s="288">
        <f t="shared" si="32"/>
        <v>17854</v>
      </c>
    </row>
    <row r="672" spans="2:20">
      <c r="B672" s="386" t="s">
        <v>777</v>
      </c>
      <c r="C672" s="114"/>
      <c r="D672" s="111" t="s">
        <v>1547</v>
      </c>
      <c r="E672" s="111" t="s">
        <v>1770</v>
      </c>
      <c r="F672" s="111"/>
      <c r="G672" s="110" t="s">
        <v>2073</v>
      </c>
      <c r="H672" s="141">
        <v>432.14419800000002</v>
      </c>
      <c r="I672" s="280"/>
      <c r="J672" s="72">
        <v>148.52000000000001</v>
      </c>
      <c r="K672" s="271">
        <f t="shared" si="30"/>
        <v>64182.056286960003</v>
      </c>
      <c r="L672" s="111"/>
      <c r="M672" s="73"/>
      <c r="N672" s="112"/>
      <c r="O672" s="111"/>
      <c r="P672" s="312">
        <v>0</v>
      </c>
      <c r="Q672" s="288">
        <f t="shared" si="31"/>
        <v>0</v>
      </c>
      <c r="R672" s="118">
        <v>0</v>
      </c>
      <c r="S672" s="283">
        <v>2016</v>
      </c>
      <c r="T672" s="288">
        <f t="shared" si="32"/>
        <v>69547</v>
      </c>
    </row>
    <row r="673" spans="2:20">
      <c r="B673" s="386" t="s">
        <v>778</v>
      </c>
      <c r="C673" s="114"/>
      <c r="D673" s="111" t="s">
        <v>1547</v>
      </c>
      <c r="E673" s="111" t="s">
        <v>1771</v>
      </c>
      <c r="F673" s="111"/>
      <c r="G673" s="110" t="s">
        <v>2073</v>
      </c>
      <c r="H673" s="141">
        <v>280.86450200000002</v>
      </c>
      <c r="I673" s="280"/>
      <c r="J673" s="72">
        <v>148.52000000000001</v>
      </c>
      <c r="K673" s="271">
        <f t="shared" si="30"/>
        <v>41713.995837040005</v>
      </c>
      <c r="L673" s="111"/>
      <c r="M673" s="73"/>
      <c r="N673" s="112"/>
      <c r="O673" s="111"/>
      <c r="P673" s="312">
        <v>0</v>
      </c>
      <c r="Q673" s="288">
        <f t="shared" si="31"/>
        <v>0</v>
      </c>
      <c r="R673" s="118">
        <v>0</v>
      </c>
      <c r="S673" s="283">
        <v>2016</v>
      </c>
      <c r="T673" s="288">
        <f t="shared" si="32"/>
        <v>45201</v>
      </c>
    </row>
    <row r="674" spans="2:20">
      <c r="B674" s="386" t="s">
        <v>779</v>
      </c>
      <c r="C674" s="114"/>
      <c r="D674" s="111" t="s">
        <v>1546</v>
      </c>
      <c r="E674" s="111" t="s">
        <v>1772</v>
      </c>
      <c r="F674" s="111"/>
      <c r="G674" s="110" t="s">
        <v>2073</v>
      </c>
      <c r="H674" s="141">
        <v>1973.4558569999999</v>
      </c>
      <c r="I674" s="280"/>
      <c r="J674" s="72">
        <v>148.52000000000001</v>
      </c>
      <c r="K674" s="271">
        <f t="shared" si="30"/>
        <v>293097.66388164001</v>
      </c>
      <c r="L674" s="111"/>
      <c r="M674" s="73"/>
      <c r="N674" s="112"/>
      <c r="O674" s="111"/>
      <c r="P674" s="312">
        <v>0</v>
      </c>
      <c r="Q674" s="288">
        <f t="shared" si="31"/>
        <v>0</v>
      </c>
      <c r="R674" s="118">
        <v>0</v>
      </c>
      <c r="S674" s="283">
        <v>2016</v>
      </c>
      <c r="T674" s="288">
        <f t="shared" si="32"/>
        <v>317598</v>
      </c>
    </row>
    <row r="675" spans="2:20">
      <c r="B675" s="386" t="s">
        <v>780</v>
      </c>
      <c r="C675" s="114"/>
      <c r="D675" s="111" t="s">
        <v>1546</v>
      </c>
      <c r="E675" s="111" t="s">
        <v>1772</v>
      </c>
      <c r="F675" s="111"/>
      <c r="G675" s="110" t="s">
        <v>2073</v>
      </c>
      <c r="H675" s="141">
        <v>1376.6488879999999</v>
      </c>
      <c r="I675" s="280"/>
      <c r="J675" s="72">
        <v>148.52000000000001</v>
      </c>
      <c r="K675" s="271">
        <f t="shared" si="30"/>
        <v>204459.89284576001</v>
      </c>
      <c r="L675" s="111"/>
      <c r="M675" s="73"/>
      <c r="N675" s="112"/>
      <c r="O675" s="111"/>
      <c r="P675" s="312">
        <v>0</v>
      </c>
      <c r="Q675" s="288">
        <f t="shared" si="31"/>
        <v>0</v>
      </c>
      <c r="R675" s="118">
        <v>0</v>
      </c>
      <c r="S675" s="283">
        <v>2016</v>
      </c>
      <c r="T675" s="288">
        <f t="shared" si="32"/>
        <v>221551</v>
      </c>
    </row>
    <row r="676" spans="2:20">
      <c r="B676" s="386" t="s">
        <v>781</v>
      </c>
      <c r="C676" s="114"/>
      <c r="D676" s="111" t="s">
        <v>1547</v>
      </c>
      <c r="E676" s="111" t="s">
        <v>1772</v>
      </c>
      <c r="F676" s="111"/>
      <c r="G676" s="110" t="s">
        <v>2073</v>
      </c>
      <c r="H676" s="141">
        <v>302.32646999999997</v>
      </c>
      <c r="I676" s="280"/>
      <c r="J676" s="72">
        <v>148.52000000000001</v>
      </c>
      <c r="K676" s="271">
        <f t="shared" si="30"/>
        <v>44901.527324399998</v>
      </c>
      <c r="L676" s="111"/>
      <c r="M676" s="73"/>
      <c r="N676" s="112"/>
      <c r="O676" s="111"/>
      <c r="P676" s="312">
        <v>0</v>
      </c>
      <c r="Q676" s="288">
        <f t="shared" si="31"/>
        <v>0</v>
      </c>
      <c r="R676" s="118">
        <v>0</v>
      </c>
      <c r="S676" s="283">
        <v>2016</v>
      </c>
      <c r="T676" s="288">
        <f t="shared" si="32"/>
        <v>48655</v>
      </c>
    </row>
    <row r="677" spans="2:20">
      <c r="B677" s="386" t="s">
        <v>782</v>
      </c>
      <c r="C677" s="114"/>
      <c r="D677" s="111" t="s">
        <v>1547</v>
      </c>
      <c r="E677" s="111" t="s">
        <v>1772</v>
      </c>
      <c r="F677" s="111"/>
      <c r="G677" s="110" t="s">
        <v>2073</v>
      </c>
      <c r="H677" s="141">
        <v>285.41495600000002</v>
      </c>
      <c r="I677" s="280"/>
      <c r="J677" s="72">
        <v>148.52000000000001</v>
      </c>
      <c r="K677" s="271">
        <f t="shared" si="30"/>
        <v>42389.829265120003</v>
      </c>
      <c r="L677" s="111"/>
      <c r="M677" s="73"/>
      <c r="N677" s="112"/>
      <c r="O677" s="111"/>
      <c r="P677" s="312">
        <v>0</v>
      </c>
      <c r="Q677" s="288">
        <f t="shared" si="31"/>
        <v>0</v>
      </c>
      <c r="R677" s="118">
        <v>0</v>
      </c>
      <c r="S677" s="283">
        <v>2016</v>
      </c>
      <c r="T677" s="288">
        <f t="shared" si="32"/>
        <v>45933</v>
      </c>
    </row>
    <row r="678" spans="2:20">
      <c r="B678" s="386" t="s">
        <v>783</v>
      </c>
      <c r="C678" s="114"/>
      <c r="D678" s="111" t="s">
        <v>1547</v>
      </c>
      <c r="E678" s="111" t="s">
        <v>1773</v>
      </c>
      <c r="F678" s="111"/>
      <c r="G678" s="110" t="s">
        <v>2074</v>
      </c>
      <c r="H678" s="141">
        <v>600.45602699999995</v>
      </c>
      <c r="I678" s="280"/>
      <c r="J678" s="72">
        <v>148.52000000000001</v>
      </c>
      <c r="K678" s="271">
        <f t="shared" si="30"/>
        <v>89179.729130039996</v>
      </c>
      <c r="L678" s="111"/>
      <c r="M678" s="73"/>
      <c r="N678" s="112"/>
      <c r="O678" s="111"/>
      <c r="P678" s="312">
        <v>0</v>
      </c>
      <c r="Q678" s="288">
        <f t="shared" si="31"/>
        <v>0</v>
      </c>
      <c r="R678" s="118">
        <v>0</v>
      </c>
      <c r="S678" s="283">
        <v>2016</v>
      </c>
      <c r="T678" s="288">
        <f t="shared" si="32"/>
        <v>96634</v>
      </c>
    </row>
    <row r="679" spans="2:20">
      <c r="B679" s="386" t="s">
        <v>784</v>
      </c>
      <c r="C679" s="114"/>
      <c r="D679" s="111" t="s">
        <v>1546</v>
      </c>
      <c r="E679" s="111" t="s">
        <v>1774</v>
      </c>
      <c r="F679" s="111"/>
      <c r="G679" s="110" t="s">
        <v>2073</v>
      </c>
      <c r="H679" s="141">
        <v>43.929186999999999</v>
      </c>
      <c r="I679" s="280"/>
      <c r="J679" s="72">
        <v>148.52000000000001</v>
      </c>
      <c r="K679" s="271">
        <f t="shared" si="30"/>
        <v>6524.3628532400007</v>
      </c>
      <c r="L679" s="111"/>
      <c r="M679" s="73"/>
      <c r="N679" s="112"/>
      <c r="O679" s="111"/>
      <c r="P679" s="312">
        <v>0</v>
      </c>
      <c r="Q679" s="288">
        <f t="shared" si="31"/>
        <v>0</v>
      </c>
      <c r="R679" s="118">
        <v>0</v>
      </c>
      <c r="S679" s="283">
        <v>2016</v>
      </c>
      <c r="T679" s="288">
        <f t="shared" si="32"/>
        <v>7070</v>
      </c>
    </row>
    <row r="680" spans="2:20">
      <c r="B680" s="386" t="s">
        <v>785</v>
      </c>
      <c r="C680" s="114"/>
      <c r="D680" s="111" t="s">
        <v>1546</v>
      </c>
      <c r="E680" s="111" t="s">
        <v>1774</v>
      </c>
      <c r="F680" s="111"/>
      <c r="G680" s="110" t="s">
        <v>2073</v>
      </c>
      <c r="H680" s="141">
        <v>163.86780099999999</v>
      </c>
      <c r="I680" s="280"/>
      <c r="J680" s="72">
        <v>148.52000000000001</v>
      </c>
      <c r="K680" s="271">
        <f t="shared" si="30"/>
        <v>24337.645804519998</v>
      </c>
      <c r="L680" s="111"/>
      <c r="M680" s="73"/>
      <c r="N680" s="112"/>
      <c r="O680" s="111"/>
      <c r="P680" s="312">
        <v>0</v>
      </c>
      <c r="Q680" s="288">
        <f t="shared" si="31"/>
        <v>0</v>
      </c>
      <c r="R680" s="118">
        <v>0</v>
      </c>
      <c r="S680" s="283">
        <v>2016</v>
      </c>
      <c r="T680" s="288">
        <f t="shared" si="32"/>
        <v>26372</v>
      </c>
    </row>
    <row r="681" spans="2:20">
      <c r="B681" s="386" t="s">
        <v>786</v>
      </c>
      <c r="C681" s="114"/>
      <c r="D681" s="111" t="s">
        <v>1546</v>
      </c>
      <c r="E681" s="111" t="s">
        <v>1774</v>
      </c>
      <c r="F681" s="111"/>
      <c r="G681" s="110" t="s">
        <v>2073</v>
      </c>
      <c r="H681" s="141">
        <v>15.987197</v>
      </c>
      <c r="I681" s="280"/>
      <c r="J681" s="72">
        <v>148.52000000000001</v>
      </c>
      <c r="K681" s="271">
        <f t="shared" si="30"/>
        <v>2374.4184984400003</v>
      </c>
      <c r="L681" s="111"/>
      <c r="M681" s="73"/>
      <c r="N681" s="112"/>
      <c r="O681" s="111"/>
      <c r="P681" s="312">
        <v>0</v>
      </c>
      <c r="Q681" s="288">
        <f t="shared" si="31"/>
        <v>0</v>
      </c>
      <c r="R681" s="118">
        <v>0</v>
      </c>
      <c r="S681" s="283">
        <v>2016</v>
      </c>
      <c r="T681" s="288">
        <f t="shared" si="32"/>
        <v>2573</v>
      </c>
    </row>
    <row r="682" spans="2:20">
      <c r="B682" s="386" t="s">
        <v>787</v>
      </c>
      <c r="C682" s="114"/>
      <c r="D682" s="111" t="s">
        <v>1546</v>
      </c>
      <c r="E682" s="111" t="s">
        <v>1774</v>
      </c>
      <c r="F682" s="111"/>
      <c r="G682" s="110" t="s">
        <v>2073</v>
      </c>
      <c r="H682" s="141">
        <v>154.15934200000001</v>
      </c>
      <c r="I682" s="280"/>
      <c r="J682" s="72">
        <v>148.52000000000001</v>
      </c>
      <c r="K682" s="271">
        <f t="shared" si="30"/>
        <v>22895.745473840005</v>
      </c>
      <c r="L682" s="111"/>
      <c r="M682" s="73"/>
      <c r="N682" s="112"/>
      <c r="O682" s="111"/>
      <c r="P682" s="312">
        <v>0</v>
      </c>
      <c r="Q682" s="288">
        <f t="shared" si="31"/>
        <v>0</v>
      </c>
      <c r="R682" s="118">
        <v>0</v>
      </c>
      <c r="S682" s="283">
        <v>2016</v>
      </c>
      <c r="T682" s="288">
        <f t="shared" si="32"/>
        <v>24810</v>
      </c>
    </row>
    <row r="683" spans="2:20">
      <c r="B683" s="386" t="s">
        <v>788</v>
      </c>
      <c r="C683" s="114"/>
      <c r="D683" s="111" t="s">
        <v>1546</v>
      </c>
      <c r="E683" s="111" t="s">
        <v>1774</v>
      </c>
      <c r="F683" s="111"/>
      <c r="G683" s="110" t="s">
        <v>2073</v>
      </c>
      <c r="H683" s="141">
        <v>153.544319</v>
      </c>
      <c r="I683" s="280"/>
      <c r="J683" s="72">
        <v>148.52000000000001</v>
      </c>
      <c r="K683" s="271">
        <f t="shared" si="30"/>
        <v>22804.402257880003</v>
      </c>
      <c r="L683" s="111"/>
      <c r="M683" s="73"/>
      <c r="N683" s="112"/>
      <c r="O683" s="111"/>
      <c r="P683" s="312">
        <v>0</v>
      </c>
      <c r="Q683" s="288">
        <f t="shared" si="31"/>
        <v>0</v>
      </c>
      <c r="R683" s="118">
        <v>0</v>
      </c>
      <c r="S683" s="283">
        <v>2016</v>
      </c>
      <c r="T683" s="288">
        <f t="shared" si="32"/>
        <v>24711</v>
      </c>
    </row>
    <row r="684" spans="2:20">
      <c r="B684" s="386" t="s">
        <v>789</v>
      </c>
      <c r="C684" s="114"/>
      <c r="D684" s="111" t="s">
        <v>1547</v>
      </c>
      <c r="E684" s="111" t="s">
        <v>1774</v>
      </c>
      <c r="F684" s="111"/>
      <c r="G684" s="110" t="s">
        <v>2073</v>
      </c>
      <c r="H684" s="141">
        <v>177.56656599999999</v>
      </c>
      <c r="I684" s="280"/>
      <c r="J684" s="72">
        <v>148.52000000000001</v>
      </c>
      <c r="K684" s="271">
        <f t="shared" si="30"/>
        <v>26372.18638232</v>
      </c>
      <c r="L684" s="111"/>
      <c r="M684" s="73"/>
      <c r="N684" s="112"/>
      <c r="O684" s="111"/>
      <c r="P684" s="312">
        <v>0</v>
      </c>
      <c r="Q684" s="288">
        <f t="shared" si="31"/>
        <v>0</v>
      </c>
      <c r="R684" s="118">
        <v>0</v>
      </c>
      <c r="S684" s="283">
        <v>2016</v>
      </c>
      <c r="T684" s="288">
        <f t="shared" si="32"/>
        <v>28577</v>
      </c>
    </row>
    <row r="685" spans="2:20">
      <c r="B685" s="386" t="s">
        <v>790</v>
      </c>
      <c r="C685" s="114"/>
      <c r="D685" s="111" t="s">
        <v>1547</v>
      </c>
      <c r="E685" s="111" t="s">
        <v>1774</v>
      </c>
      <c r="F685" s="111"/>
      <c r="G685" s="110" t="s">
        <v>2073</v>
      </c>
      <c r="H685" s="141">
        <v>58.370649</v>
      </c>
      <c r="I685" s="280"/>
      <c r="J685" s="72">
        <v>148.52000000000001</v>
      </c>
      <c r="K685" s="271">
        <f t="shared" si="30"/>
        <v>8669.2087894800006</v>
      </c>
      <c r="L685" s="111"/>
      <c r="M685" s="73"/>
      <c r="N685" s="112"/>
      <c r="O685" s="111"/>
      <c r="P685" s="312">
        <v>0</v>
      </c>
      <c r="Q685" s="288">
        <f t="shared" si="31"/>
        <v>0</v>
      </c>
      <c r="R685" s="118">
        <v>0</v>
      </c>
      <c r="S685" s="283">
        <v>2016</v>
      </c>
      <c r="T685" s="288">
        <f t="shared" si="32"/>
        <v>9394</v>
      </c>
    </row>
    <row r="686" spans="2:20">
      <c r="B686" s="386" t="s">
        <v>791</v>
      </c>
      <c r="C686" s="114"/>
      <c r="D686" s="111" t="s">
        <v>1547</v>
      </c>
      <c r="E686" s="111" t="s">
        <v>1774</v>
      </c>
      <c r="F686" s="111"/>
      <c r="G686" s="110" t="s">
        <v>2073</v>
      </c>
      <c r="H686" s="141">
        <v>300.5419</v>
      </c>
      <c r="I686" s="280"/>
      <c r="J686" s="72">
        <v>148.52000000000001</v>
      </c>
      <c r="K686" s="271">
        <f t="shared" si="30"/>
        <v>44636.482988000003</v>
      </c>
      <c r="L686" s="111"/>
      <c r="M686" s="73"/>
      <c r="N686" s="112"/>
      <c r="O686" s="111"/>
      <c r="P686" s="312">
        <v>0</v>
      </c>
      <c r="Q686" s="288">
        <f t="shared" si="31"/>
        <v>0</v>
      </c>
      <c r="R686" s="118">
        <v>0</v>
      </c>
      <c r="S686" s="283">
        <v>2016</v>
      </c>
      <c r="T686" s="288">
        <f t="shared" si="32"/>
        <v>48368</v>
      </c>
    </row>
    <row r="687" spans="2:20">
      <c r="B687" s="386" t="s">
        <v>792</v>
      </c>
      <c r="C687" s="114"/>
      <c r="D687" s="111" t="s">
        <v>1547</v>
      </c>
      <c r="E687" s="111" t="s">
        <v>1774</v>
      </c>
      <c r="F687" s="111"/>
      <c r="G687" s="110" t="s">
        <v>2073</v>
      </c>
      <c r="H687" s="141">
        <v>132.42861099999999</v>
      </c>
      <c r="I687" s="280"/>
      <c r="J687" s="72">
        <v>148.52000000000001</v>
      </c>
      <c r="K687" s="271">
        <f t="shared" si="30"/>
        <v>19668.29730572</v>
      </c>
      <c r="L687" s="111"/>
      <c r="M687" s="73"/>
      <c r="N687" s="112"/>
      <c r="O687" s="111"/>
      <c r="P687" s="312">
        <v>0</v>
      </c>
      <c r="Q687" s="288">
        <f t="shared" si="31"/>
        <v>0</v>
      </c>
      <c r="R687" s="118">
        <v>0</v>
      </c>
      <c r="S687" s="283">
        <v>2016</v>
      </c>
      <c r="T687" s="288">
        <f t="shared" si="32"/>
        <v>21312</v>
      </c>
    </row>
    <row r="688" spans="2:20">
      <c r="B688" s="386" t="s">
        <v>793</v>
      </c>
      <c r="C688" s="114"/>
      <c r="D688" s="111" t="s">
        <v>1546</v>
      </c>
      <c r="E688" s="111" t="s">
        <v>1775</v>
      </c>
      <c r="F688" s="111"/>
      <c r="G688" s="110" t="s">
        <v>2073</v>
      </c>
      <c r="H688" s="141">
        <v>268.40718900000002</v>
      </c>
      <c r="I688" s="280"/>
      <c r="J688" s="72">
        <v>148.52000000000001</v>
      </c>
      <c r="K688" s="271">
        <f t="shared" si="30"/>
        <v>39863.835710280007</v>
      </c>
      <c r="L688" s="111"/>
      <c r="M688" s="73"/>
      <c r="N688" s="112"/>
      <c r="O688" s="111"/>
      <c r="P688" s="312">
        <v>0</v>
      </c>
      <c r="Q688" s="288">
        <f t="shared" si="31"/>
        <v>0</v>
      </c>
      <c r="R688" s="118">
        <v>0</v>
      </c>
      <c r="S688" s="283">
        <v>2016</v>
      </c>
      <c r="T688" s="288">
        <f t="shared" si="32"/>
        <v>43196</v>
      </c>
    </row>
    <row r="689" spans="2:20">
      <c r="B689" s="386" t="s">
        <v>794</v>
      </c>
      <c r="C689" s="114"/>
      <c r="D689" s="111" t="s">
        <v>1546</v>
      </c>
      <c r="E689" s="111" t="s">
        <v>1776</v>
      </c>
      <c r="F689" s="111"/>
      <c r="G689" s="110" t="s">
        <v>2073</v>
      </c>
      <c r="H689" s="141">
        <v>147.30950899999999</v>
      </c>
      <c r="I689" s="280"/>
      <c r="J689" s="72">
        <v>148.52000000000001</v>
      </c>
      <c r="K689" s="271">
        <f t="shared" si="30"/>
        <v>21878.408276680002</v>
      </c>
      <c r="L689" s="111"/>
      <c r="M689" s="73"/>
      <c r="N689" s="112"/>
      <c r="O689" s="111"/>
      <c r="P689" s="312">
        <v>0</v>
      </c>
      <c r="Q689" s="288">
        <f t="shared" si="31"/>
        <v>0</v>
      </c>
      <c r="R689" s="118">
        <v>0</v>
      </c>
      <c r="S689" s="283">
        <v>2016</v>
      </c>
      <c r="T689" s="288">
        <f t="shared" si="32"/>
        <v>23707</v>
      </c>
    </row>
    <row r="690" spans="2:20">
      <c r="B690" s="386" t="s">
        <v>795</v>
      </c>
      <c r="C690" s="114"/>
      <c r="D690" s="111" t="s">
        <v>1546</v>
      </c>
      <c r="E690" s="111" t="s">
        <v>1776</v>
      </c>
      <c r="F690" s="111"/>
      <c r="G690" s="110" t="s">
        <v>2073</v>
      </c>
      <c r="H690" s="141">
        <v>1512.1635920000001</v>
      </c>
      <c r="I690" s="280"/>
      <c r="J690" s="72">
        <v>148.52000000000001</v>
      </c>
      <c r="K690" s="271">
        <f t="shared" si="30"/>
        <v>224586.53668384004</v>
      </c>
      <c r="L690" s="111"/>
      <c r="M690" s="73"/>
      <c r="N690" s="112"/>
      <c r="O690" s="111"/>
      <c r="P690" s="312">
        <v>0</v>
      </c>
      <c r="Q690" s="288">
        <f t="shared" si="31"/>
        <v>0</v>
      </c>
      <c r="R690" s="118">
        <v>0</v>
      </c>
      <c r="S690" s="283">
        <v>2016</v>
      </c>
      <c r="T690" s="288">
        <f t="shared" si="32"/>
        <v>243360</v>
      </c>
    </row>
    <row r="691" spans="2:20">
      <c r="B691" s="386" t="s">
        <v>796</v>
      </c>
      <c r="C691" s="114"/>
      <c r="D691" s="111" t="s">
        <v>1546</v>
      </c>
      <c r="E691" s="111" t="s">
        <v>1776</v>
      </c>
      <c r="F691" s="111"/>
      <c r="G691" s="110" t="s">
        <v>2073</v>
      </c>
      <c r="H691" s="141">
        <v>554.16913999999997</v>
      </c>
      <c r="I691" s="280"/>
      <c r="J691" s="72">
        <v>148.52000000000001</v>
      </c>
      <c r="K691" s="271">
        <f t="shared" si="30"/>
        <v>82305.200672799998</v>
      </c>
      <c r="L691" s="111"/>
      <c r="M691" s="73"/>
      <c r="N691" s="112"/>
      <c r="O691" s="111"/>
      <c r="P691" s="312">
        <v>0</v>
      </c>
      <c r="Q691" s="288">
        <f t="shared" si="31"/>
        <v>0</v>
      </c>
      <c r="R691" s="118">
        <v>0</v>
      </c>
      <c r="S691" s="283">
        <v>2016</v>
      </c>
      <c r="T691" s="288">
        <f t="shared" si="32"/>
        <v>89185</v>
      </c>
    </row>
    <row r="692" spans="2:20">
      <c r="B692" s="386" t="s">
        <v>797</v>
      </c>
      <c r="C692" s="114"/>
      <c r="D692" s="111" t="s">
        <v>1547</v>
      </c>
      <c r="E692" s="111" t="s">
        <v>1777</v>
      </c>
      <c r="F692" s="111"/>
      <c r="G692" s="110" t="s">
        <v>2073</v>
      </c>
      <c r="H692" s="141">
        <v>208.20809499999999</v>
      </c>
      <c r="I692" s="280"/>
      <c r="J692" s="72">
        <v>148.52000000000001</v>
      </c>
      <c r="K692" s="271">
        <f t="shared" ref="K692:K751" si="33">J692*H692</f>
        <v>30923.066269399998</v>
      </c>
      <c r="L692" s="111"/>
      <c r="M692" s="73"/>
      <c r="N692" s="112"/>
      <c r="O692" s="111"/>
      <c r="P692" s="312">
        <v>0</v>
      </c>
      <c r="Q692" s="288">
        <f t="shared" ref="Q692:Q751" si="34">IFERROR(R692/P692,0)</f>
        <v>0</v>
      </c>
      <c r="R692" s="118">
        <v>0</v>
      </c>
      <c r="S692" s="283">
        <v>2016</v>
      </c>
      <c r="T692" s="288">
        <f t="shared" si="32"/>
        <v>33508</v>
      </c>
    </row>
    <row r="693" spans="2:20">
      <c r="B693" s="386" t="s">
        <v>798</v>
      </c>
      <c r="C693" s="114"/>
      <c r="D693" s="111" t="s">
        <v>1546</v>
      </c>
      <c r="E693" s="111" t="s">
        <v>1761</v>
      </c>
      <c r="F693" s="111"/>
      <c r="G693" s="110" t="s">
        <v>2073</v>
      </c>
      <c r="H693" s="141">
        <v>219.88436899999999</v>
      </c>
      <c r="I693" s="280"/>
      <c r="J693" s="72">
        <v>148.52000000000001</v>
      </c>
      <c r="K693" s="271">
        <f t="shared" si="33"/>
        <v>32657.22648388</v>
      </c>
      <c r="L693" s="111"/>
      <c r="M693" s="73"/>
      <c r="N693" s="112"/>
      <c r="O693" s="111"/>
      <c r="P693" s="312">
        <v>0</v>
      </c>
      <c r="Q693" s="288">
        <f t="shared" si="34"/>
        <v>0</v>
      </c>
      <c r="R693" s="118">
        <v>0</v>
      </c>
      <c r="S693" s="283">
        <v>2016</v>
      </c>
      <c r="T693" s="288">
        <f t="shared" si="32"/>
        <v>35387</v>
      </c>
    </row>
    <row r="694" spans="2:20">
      <c r="B694" s="386" t="s">
        <v>799</v>
      </c>
      <c r="C694" s="114"/>
      <c r="D694" s="111" t="s">
        <v>1546</v>
      </c>
      <c r="E694" s="111" t="s">
        <v>1761</v>
      </c>
      <c r="F694" s="111"/>
      <c r="G694" s="110" t="s">
        <v>2073</v>
      </c>
      <c r="H694" s="141">
        <v>79.211366999999996</v>
      </c>
      <c r="I694" s="280"/>
      <c r="J694" s="72">
        <v>148.52000000000001</v>
      </c>
      <c r="K694" s="271">
        <f t="shared" si="33"/>
        <v>11764.47222684</v>
      </c>
      <c r="L694" s="111"/>
      <c r="M694" s="73"/>
      <c r="N694" s="112"/>
      <c r="O694" s="111"/>
      <c r="P694" s="312">
        <v>0</v>
      </c>
      <c r="Q694" s="288">
        <f t="shared" si="34"/>
        <v>0</v>
      </c>
      <c r="R694" s="118">
        <v>0</v>
      </c>
      <c r="S694" s="283">
        <v>2016</v>
      </c>
      <c r="T694" s="288">
        <f t="shared" si="32"/>
        <v>12748</v>
      </c>
    </row>
    <row r="695" spans="2:20">
      <c r="B695" s="386" t="s">
        <v>800</v>
      </c>
      <c r="C695" s="114"/>
      <c r="D695" s="111" t="s">
        <v>1546</v>
      </c>
      <c r="E695" s="111" t="s">
        <v>1761</v>
      </c>
      <c r="F695" s="111"/>
      <c r="G695" s="110" t="s">
        <v>2073</v>
      </c>
      <c r="H695" s="141">
        <v>263.95326399999999</v>
      </c>
      <c r="I695" s="280"/>
      <c r="J695" s="72">
        <v>148.52000000000001</v>
      </c>
      <c r="K695" s="271">
        <f t="shared" si="33"/>
        <v>39202.338769280002</v>
      </c>
      <c r="L695" s="111"/>
      <c r="M695" s="73"/>
      <c r="N695" s="112"/>
      <c r="O695" s="111"/>
      <c r="P695" s="312">
        <v>0</v>
      </c>
      <c r="Q695" s="288">
        <f t="shared" si="34"/>
        <v>0</v>
      </c>
      <c r="R695" s="118">
        <v>0</v>
      </c>
      <c r="S695" s="283">
        <v>2016</v>
      </c>
      <c r="T695" s="288">
        <f t="shared" si="32"/>
        <v>42479</v>
      </c>
    </row>
    <row r="696" spans="2:20">
      <c r="B696" s="386" t="s">
        <v>801</v>
      </c>
      <c r="C696" s="114"/>
      <c r="D696" s="111" t="s">
        <v>1546</v>
      </c>
      <c r="E696" s="111" t="s">
        <v>1761</v>
      </c>
      <c r="F696" s="111"/>
      <c r="G696" s="110" t="s">
        <v>2073</v>
      </c>
      <c r="H696" s="141">
        <v>377.79421400000001</v>
      </c>
      <c r="I696" s="280"/>
      <c r="J696" s="72">
        <v>148.52000000000001</v>
      </c>
      <c r="K696" s="271">
        <f t="shared" si="33"/>
        <v>56109.996663280006</v>
      </c>
      <c r="L696" s="111"/>
      <c r="M696" s="73"/>
      <c r="N696" s="112"/>
      <c r="O696" s="111"/>
      <c r="P696" s="312">
        <v>0</v>
      </c>
      <c r="Q696" s="288">
        <f t="shared" si="34"/>
        <v>0</v>
      </c>
      <c r="R696" s="118">
        <v>0</v>
      </c>
      <c r="S696" s="283">
        <v>2016</v>
      </c>
      <c r="T696" s="288">
        <f t="shared" si="32"/>
        <v>60800</v>
      </c>
    </row>
    <row r="697" spans="2:20">
      <c r="B697" s="386" t="s">
        <v>802</v>
      </c>
      <c r="C697" s="114"/>
      <c r="D697" s="111" t="s">
        <v>1547</v>
      </c>
      <c r="E697" s="111" t="s">
        <v>1778</v>
      </c>
      <c r="F697" s="111"/>
      <c r="G697" s="110" t="s">
        <v>2073</v>
      </c>
      <c r="H697" s="141">
        <v>150.24715900000001</v>
      </c>
      <c r="I697" s="280"/>
      <c r="J697" s="72">
        <v>148.52000000000001</v>
      </c>
      <c r="K697" s="271">
        <f t="shared" si="33"/>
        <v>22314.708054680003</v>
      </c>
      <c r="L697" s="111"/>
      <c r="M697" s="73"/>
      <c r="N697" s="112"/>
      <c r="O697" s="111"/>
      <c r="P697" s="312">
        <v>0</v>
      </c>
      <c r="Q697" s="288">
        <f t="shared" si="34"/>
        <v>0</v>
      </c>
      <c r="R697" s="118">
        <v>0</v>
      </c>
      <c r="S697" s="283">
        <v>2016</v>
      </c>
      <c r="T697" s="288">
        <f t="shared" si="32"/>
        <v>24180</v>
      </c>
    </row>
    <row r="698" spans="2:20">
      <c r="B698" s="386" t="s">
        <v>803</v>
      </c>
      <c r="C698" s="114"/>
      <c r="D698" s="111" t="s">
        <v>1546</v>
      </c>
      <c r="E698" s="111" t="s">
        <v>1779</v>
      </c>
      <c r="F698" s="111"/>
      <c r="G698" s="110" t="s">
        <v>2073</v>
      </c>
      <c r="H698" s="141">
        <v>92.362002000000004</v>
      </c>
      <c r="I698" s="280"/>
      <c r="J698" s="72">
        <v>148.52000000000001</v>
      </c>
      <c r="K698" s="271">
        <f t="shared" si="33"/>
        <v>13717.604537040001</v>
      </c>
      <c r="L698" s="111"/>
      <c r="M698" s="73"/>
      <c r="N698" s="112"/>
      <c r="O698" s="111"/>
      <c r="P698" s="312">
        <v>0</v>
      </c>
      <c r="Q698" s="288">
        <f t="shared" si="34"/>
        <v>0</v>
      </c>
      <c r="R698" s="118">
        <v>0</v>
      </c>
      <c r="S698" s="283">
        <v>2016</v>
      </c>
      <c r="T698" s="288">
        <f t="shared" si="32"/>
        <v>14864</v>
      </c>
    </row>
    <row r="699" spans="2:20">
      <c r="B699" s="386" t="s">
        <v>804</v>
      </c>
      <c r="C699" s="114"/>
      <c r="D699" s="111" t="s">
        <v>1546</v>
      </c>
      <c r="E699" s="111" t="s">
        <v>1779</v>
      </c>
      <c r="F699" s="111"/>
      <c r="G699" s="110" t="s">
        <v>2073</v>
      </c>
      <c r="H699" s="141">
        <v>729.84872099999995</v>
      </c>
      <c r="I699" s="280"/>
      <c r="J699" s="72">
        <v>148.52000000000001</v>
      </c>
      <c r="K699" s="271">
        <f t="shared" si="33"/>
        <v>108397.13204292</v>
      </c>
      <c r="L699" s="111"/>
      <c r="M699" s="73"/>
      <c r="N699" s="112"/>
      <c r="O699" s="111"/>
      <c r="P699" s="312">
        <v>0</v>
      </c>
      <c r="Q699" s="288">
        <f t="shared" si="34"/>
        <v>0</v>
      </c>
      <c r="R699" s="118">
        <v>0</v>
      </c>
      <c r="S699" s="283">
        <v>2016</v>
      </c>
      <c r="T699" s="288">
        <f t="shared" si="32"/>
        <v>117458</v>
      </c>
    </row>
    <row r="700" spans="2:20">
      <c r="B700" s="386" t="s">
        <v>805</v>
      </c>
      <c r="C700" s="114"/>
      <c r="D700" s="111" t="s">
        <v>1547</v>
      </c>
      <c r="E700" s="111" t="s">
        <v>1780</v>
      </c>
      <c r="F700" s="111"/>
      <c r="G700" s="110" t="s">
        <v>2073</v>
      </c>
      <c r="H700" s="141">
        <v>6.1656230000000001</v>
      </c>
      <c r="I700" s="280"/>
      <c r="J700" s="72">
        <v>148.52000000000001</v>
      </c>
      <c r="K700" s="271">
        <f t="shared" si="33"/>
        <v>915.71832796000012</v>
      </c>
      <c r="L700" s="111"/>
      <c r="M700" s="73"/>
      <c r="N700" s="112"/>
      <c r="O700" s="111"/>
      <c r="P700" s="312">
        <v>0</v>
      </c>
      <c r="Q700" s="288">
        <f t="shared" si="34"/>
        <v>0</v>
      </c>
      <c r="R700" s="118">
        <v>0</v>
      </c>
      <c r="S700" s="283">
        <v>2016</v>
      </c>
      <c r="T700" s="288">
        <f t="shared" si="32"/>
        <v>992</v>
      </c>
    </row>
    <row r="701" spans="2:20">
      <c r="B701" s="386" t="s">
        <v>806</v>
      </c>
      <c r="C701" s="114"/>
      <c r="D701" s="111" t="s">
        <v>1547</v>
      </c>
      <c r="E701" s="111" t="s">
        <v>1780</v>
      </c>
      <c r="F701" s="111"/>
      <c r="G701" s="110" t="s">
        <v>2073</v>
      </c>
      <c r="H701" s="141">
        <v>7.1965089999999998</v>
      </c>
      <c r="I701" s="280"/>
      <c r="J701" s="72">
        <v>148.52000000000001</v>
      </c>
      <c r="K701" s="271">
        <f t="shared" si="33"/>
        <v>1068.82551668</v>
      </c>
      <c r="L701" s="111"/>
      <c r="M701" s="73"/>
      <c r="N701" s="112"/>
      <c r="O701" s="111"/>
      <c r="P701" s="312">
        <v>0</v>
      </c>
      <c r="Q701" s="288">
        <f t="shared" si="34"/>
        <v>0</v>
      </c>
      <c r="R701" s="118">
        <v>0</v>
      </c>
      <c r="S701" s="283">
        <v>2016</v>
      </c>
      <c r="T701" s="288">
        <f t="shared" si="32"/>
        <v>1158</v>
      </c>
    </row>
    <row r="702" spans="2:20">
      <c r="B702" s="386" t="s">
        <v>807</v>
      </c>
      <c r="C702" s="114"/>
      <c r="D702" s="111" t="s">
        <v>1547</v>
      </c>
      <c r="E702" s="111" t="s">
        <v>1781</v>
      </c>
      <c r="F702" s="111"/>
      <c r="G702" s="110" t="s">
        <v>2073</v>
      </c>
      <c r="H702" s="141">
        <v>35.241204000000003</v>
      </c>
      <c r="I702" s="280"/>
      <c r="J702" s="72">
        <v>148.52000000000001</v>
      </c>
      <c r="K702" s="271">
        <f t="shared" si="33"/>
        <v>5234.0236180800011</v>
      </c>
      <c r="L702" s="111"/>
      <c r="M702" s="73"/>
      <c r="N702" s="112"/>
      <c r="O702" s="111"/>
      <c r="P702" s="312">
        <v>0</v>
      </c>
      <c r="Q702" s="288">
        <f t="shared" si="34"/>
        <v>0</v>
      </c>
      <c r="R702" s="118">
        <v>0</v>
      </c>
      <c r="S702" s="283">
        <v>2016</v>
      </c>
      <c r="T702" s="288">
        <f t="shared" si="32"/>
        <v>5672</v>
      </c>
    </row>
    <row r="703" spans="2:20">
      <c r="B703" s="386" t="s">
        <v>808</v>
      </c>
      <c r="C703" s="114"/>
      <c r="D703" s="111" t="s">
        <v>1546</v>
      </c>
      <c r="E703" s="111" t="s">
        <v>42</v>
      </c>
      <c r="F703" s="111"/>
      <c r="G703" s="110" t="s">
        <v>2073</v>
      </c>
      <c r="H703" s="141">
        <v>9.6435200000000005</v>
      </c>
      <c r="I703" s="280"/>
      <c r="J703" s="72">
        <v>148.52000000000001</v>
      </c>
      <c r="K703" s="271">
        <f t="shared" si="33"/>
        <v>1432.2555904000001</v>
      </c>
      <c r="L703" s="111"/>
      <c r="M703" s="73"/>
      <c r="N703" s="112"/>
      <c r="O703" s="111"/>
      <c r="P703" s="312">
        <v>0</v>
      </c>
      <c r="Q703" s="288">
        <f t="shared" si="34"/>
        <v>0</v>
      </c>
      <c r="R703" s="118">
        <v>0</v>
      </c>
      <c r="S703" s="283">
        <v>2016</v>
      </c>
      <c r="T703" s="288">
        <f t="shared" si="32"/>
        <v>1552</v>
      </c>
    </row>
    <row r="704" spans="2:20">
      <c r="B704" s="386" t="s">
        <v>809</v>
      </c>
      <c r="C704" s="114"/>
      <c r="D704" s="111" t="s">
        <v>1546</v>
      </c>
      <c r="E704" s="111" t="s">
        <v>42</v>
      </c>
      <c r="F704" s="111"/>
      <c r="G704" s="110" t="s">
        <v>2073</v>
      </c>
      <c r="H704" s="141">
        <v>239.64054300000001</v>
      </c>
      <c r="I704" s="280"/>
      <c r="J704" s="72">
        <v>148.52000000000001</v>
      </c>
      <c r="K704" s="271">
        <f t="shared" si="33"/>
        <v>35591.413446360006</v>
      </c>
      <c r="L704" s="111"/>
      <c r="M704" s="73"/>
      <c r="N704" s="112"/>
      <c r="O704" s="111"/>
      <c r="P704" s="312">
        <v>0</v>
      </c>
      <c r="Q704" s="288">
        <f t="shared" si="34"/>
        <v>0</v>
      </c>
      <c r="R704" s="118">
        <v>0</v>
      </c>
      <c r="S704" s="283">
        <v>2016</v>
      </c>
      <c r="T704" s="288">
        <f t="shared" si="32"/>
        <v>38566</v>
      </c>
    </row>
    <row r="705" spans="2:20">
      <c r="B705" s="386" t="s">
        <v>810</v>
      </c>
      <c r="C705" s="114"/>
      <c r="D705" s="111" t="s">
        <v>1546</v>
      </c>
      <c r="E705" s="111" t="s">
        <v>42</v>
      </c>
      <c r="F705" s="111"/>
      <c r="G705" s="110" t="s">
        <v>2073</v>
      </c>
      <c r="H705" s="141">
        <v>1222.0010520000001</v>
      </c>
      <c r="I705" s="280"/>
      <c r="J705" s="72">
        <v>148.52000000000001</v>
      </c>
      <c r="K705" s="271">
        <f t="shared" si="33"/>
        <v>181491.59624304003</v>
      </c>
      <c r="L705" s="111"/>
      <c r="M705" s="73"/>
      <c r="N705" s="112"/>
      <c r="O705" s="111"/>
      <c r="P705" s="312">
        <v>0</v>
      </c>
      <c r="Q705" s="288">
        <f t="shared" si="34"/>
        <v>0</v>
      </c>
      <c r="R705" s="118">
        <v>0</v>
      </c>
      <c r="S705" s="283">
        <v>2016</v>
      </c>
      <c r="T705" s="288">
        <f t="shared" si="32"/>
        <v>196662</v>
      </c>
    </row>
    <row r="706" spans="2:20">
      <c r="B706" s="386" t="s">
        <v>811</v>
      </c>
      <c r="C706" s="114"/>
      <c r="D706" s="111" t="s">
        <v>1546</v>
      </c>
      <c r="E706" s="111" t="s">
        <v>42</v>
      </c>
      <c r="F706" s="111"/>
      <c r="G706" s="110" t="s">
        <v>2073</v>
      </c>
      <c r="H706" s="141">
        <v>32.107289999999999</v>
      </c>
      <c r="I706" s="280"/>
      <c r="J706" s="72">
        <v>148.52000000000001</v>
      </c>
      <c r="K706" s="271">
        <f t="shared" si="33"/>
        <v>4768.5747108000005</v>
      </c>
      <c r="L706" s="111"/>
      <c r="M706" s="73"/>
      <c r="N706" s="112"/>
      <c r="O706" s="111"/>
      <c r="P706" s="312">
        <v>0</v>
      </c>
      <c r="Q706" s="288">
        <f t="shared" si="34"/>
        <v>0</v>
      </c>
      <c r="R706" s="118">
        <v>0</v>
      </c>
      <c r="S706" s="283">
        <v>2016</v>
      </c>
      <c r="T706" s="288">
        <f t="shared" si="32"/>
        <v>5167</v>
      </c>
    </row>
    <row r="707" spans="2:20">
      <c r="B707" s="386" t="s">
        <v>812</v>
      </c>
      <c r="C707" s="114"/>
      <c r="D707" s="111" t="s">
        <v>1546</v>
      </c>
      <c r="E707" s="111" t="s">
        <v>42</v>
      </c>
      <c r="F707" s="111"/>
      <c r="G707" s="110" t="s">
        <v>2073</v>
      </c>
      <c r="H707" s="141">
        <v>42.666466999999997</v>
      </c>
      <c r="I707" s="280"/>
      <c r="J707" s="72">
        <v>148.52000000000001</v>
      </c>
      <c r="K707" s="271">
        <f t="shared" si="33"/>
        <v>6336.82367884</v>
      </c>
      <c r="L707" s="111"/>
      <c r="M707" s="73"/>
      <c r="N707" s="112"/>
      <c r="O707" s="111"/>
      <c r="P707" s="312">
        <v>0</v>
      </c>
      <c r="Q707" s="288">
        <f t="shared" si="34"/>
        <v>0</v>
      </c>
      <c r="R707" s="118">
        <v>0</v>
      </c>
      <c r="S707" s="283">
        <v>2016</v>
      </c>
      <c r="T707" s="288">
        <f t="shared" si="32"/>
        <v>6867</v>
      </c>
    </row>
    <row r="708" spans="2:20">
      <c r="B708" s="386" t="s">
        <v>813</v>
      </c>
      <c r="C708" s="114"/>
      <c r="D708" s="111" t="s">
        <v>1546</v>
      </c>
      <c r="E708" s="111" t="s">
        <v>42</v>
      </c>
      <c r="F708" s="111"/>
      <c r="G708" s="110" t="s">
        <v>2073</v>
      </c>
      <c r="H708" s="141">
        <v>30.513591999999999</v>
      </c>
      <c r="I708" s="280"/>
      <c r="J708" s="72">
        <v>148.52000000000001</v>
      </c>
      <c r="K708" s="271">
        <f t="shared" si="33"/>
        <v>4531.8786838400001</v>
      </c>
      <c r="L708" s="111"/>
      <c r="M708" s="73"/>
      <c r="N708" s="112"/>
      <c r="O708" s="111"/>
      <c r="P708" s="312">
        <v>0</v>
      </c>
      <c r="Q708" s="288">
        <f t="shared" si="34"/>
        <v>0</v>
      </c>
      <c r="R708" s="118">
        <v>0</v>
      </c>
      <c r="S708" s="283">
        <v>2016</v>
      </c>
      <c r="T708" s="288">
        <f t="shared" si="32"/>
        <v>4911</v>
      </c>
    </row>
    <row r="709" spans="2:20">
      <c r="B709" s="386" t="s">
        <v>814</v>
      </c>
      <c r="C709" s="114"/>
      <c r="D709" s="111" t="s">
        <v>1546</v>
      </c>
      <c r="E709" s="111" t="s">
        <v>42</v>
      </c>
      <c r="F709" s="111"/>
      <c r="G709" s="110" t="s">
        <v>2073</v>
      </c>
      <c r="H709" s="141">
        <v>30.997627999999999</v>
      </c>
      <c r="I709" s="280"/>
      <c r="J709" s="72">
        <v>148.52000000000001</v>
      </c>
      <c r="K709" s="271">
        <f t="shared" si="33"/>
        <v>4603.7677105600005</v>
      </c>
      <c r="L709" s="111"/>
      <c r="M709" s="73"/>
      <c r="N709" s="112"/>
      <c r="O709" s="111"/>
      <c r="P709" s="312">
        <v>0</v>
      </c>
      <c r="Q709" s="288">
        <f t="shared" si="34"/>
        <v>0</v>
      </c>
      <c r="R709" s="118">
        <v>0</v>
      </c>
      <c r="S709" s="283">
        <v>2016</v>
      </c>
      <c r="T709" s="288">
        <f t="shared" si="32"/>
        <v>4989</v>
      </c>
    </row>
    <row r="710" spans="2:20">
      <c r="B710" s="386" t="s">
        <v>815</v>
      </c>
      <c r="C710" s="114"/>
      <c r="D710" s="111" t="s">
        <v>1546</v>
      </c>
      <c r="E710" s="111" t="s">
        <v>42</v>
      </c>
      <c r="F710" s="111"/>
      <c r="G710" s="110" t="s">
        <v>2073</v>
      </c>
      <c r="H710" s="141">
        <v>57.554608000000002</v>
      </c>
      <c r="I710" s="280"/>
      <c r="J710" s="72">
        <v>148.52000000000001</v>
      </c>
      <c r="K710" s="271">
        <f t="shared" si="33"/>
        <v>8548.0103801600017</v>
      </c>
      <c r="L710" s="111"/>
      <c r="M710" s="73"/>
      <c r="N710" s="112"/>
      <c r="O710" s="111"/>
      <c r="P710" s="312">
        <v>0</v>
      </c>
      <c r="Q710" s="288">
        <f t="shared" si="34"/>
        <v>0</v>
      </c>
      <c r="R710" s="118">
        <v>0</v>
      </c>
      <c r="S710" s="283">
        <v>2016</v>
      </c>
      <c r="T710" s="288">
        <f t="shared" si="32"/>
        <v>9263</v>
      </c>
    </row>
    <row r="711" spans="2:20">
      <c r="B711" s="386" t="s">
        <v>816</v>
      </c>
      <c r="C711" s="114"/>
      <c r="D711" s="111" t="s">
        <v>1546</v>
      </c>
      <c r="E711" s="111" t="s">
        <v>1782</v>
      </c>
      <c r="F711" s="111"/>
      <c r="G711" s="110" t="s">
        <v>2073</v>
      </c>
      <c r="H711" s="141">
        <v>20.175325999999998</v>
      </c>
      <c r="I711" s="280"/>
      <c r="J711" s="72">
        <v>148.52000000000001</v>
      </c>
      <c r="K711" s="271">
        <f t="shared" si="33"/>
        <v>2996.43941752</v>
      </c>
      <c r="L711" s="111"/>
      <c r="M711" s="73"/>
      <c r="N711" s="112"/>
      <c r="O711" s="111"/>
      <c r="P711" s="312">
        <v>0</v>
      </c>
      <c r="Q711" s="288">
        <f t="shared" si="34"/>
        <v>0</v>
      </c>
      <c r="R711" s="118">
        <v>0</v>
      </c>
      <c r="S711" s="283">
        <v>2016</v>
      </c>
      <c r="T711" s="288">
        <f t="shared" si="32"/>
        <v>3247</v>
      </c>
    </row>
    <row r="712" spans="2:20">
      <c r="B712" s="386" t="s">
        <v>817</v>
      </c>
      <c r="C712" s="114"/>
      <c r="D712" s="111" t="s">
        <v>1546</v>
      </c>
      <c r="E712" s="111" t="s">
        <v>1783</v>
      </c>
      <c r="F712" s="111"/>
      <c r="G712" s="110" t="s">
        <v>2073</v>
      </c>
      <c r="H712" s="141">
        <v>1229.058869</v>
      </c>
      <c r="I712" s="280"/>
      <c r="J712" s="72">
        <v>148.52000000000001</v>
      </c>
      <c r="K712" s="271">
        <f t="shared" si="33"/>
        <v>182539.82322388</v>
      </c>
      <c r="L712" s="111"/>
      <c r="M712" s="73"/>
      <c r="N712" s="112"/>
      <c r="O712" s="111"/>
      <c r="P712" s="312">
        <v>0</v>
      </c>
      <c r="Q712" s="288">
        <f t="shared" si="34"/>
        <v>0</v>
      </c>
      <c r="R712" s="118">
        <v>0</v>
      </c>
      <c r="S712" s="283">
        <v>2016</v>
      </c>
      <c r="T712" s="288">
        <f t="shared" si="32"/>
        <v>197798</v>
      </c>
    </row>
    <row r="713" spans="2:20">
      <c r="B713" s="386" t="s">
        <v>818</v>
      </c>
      <c r="C713" s="114"/>
      <c r="D713" s="111" t="s">
        <v>1546</v>
      </c>
      <c r="E713" s="111" t="s">
        <v>1783</v>
      </c>
      <c r="F713" s="111"/>
      <c r="G713" s="110" t="s">
        <v>2073</v>
      </c>
      <c r="H713" s="141">
        <v>305.51327300000003</v>
      </c>
      <c r="I713" s="280"/>
      <c r="J713" s="72">
        <v>148.52000000000001</v>
      </c>
      <c r="K713" s="271">
        <f t="shared" si="33"/>
        <v>45374.831305960004</v>
      </c>
      <c r="L713" s="111"/>
      <c r="M713" s="73"/>
      <c r="N713" s="112"/>
      <c r="O713" s="111"/>
      <c r="P713" s="312">
        <v>0</v>
      </c>
      <c r="Q713" s="288">
        <f t="shared" si="34"/>
        <v>0</v>
      </c>
      <c r="R713" s="118">
        <v>0</v>
      </c>
      <c r="S713" s="283">
        <v>2016</v>
      </c>
      <c r="T713" s="288">
        <f t="shared" si="32"/>
        <v>49168</v>
      </c>
    </row>
    <row r="714" spans="2:20">
      <c r="B714" s="386" t="s">
        <v>819</v>
      </c>
      <c r="C714" s="114"/>
      <c r="D714" s="111" t="s">
        <v>1546</v>
      </c>
      <c r="E714" s="111" t="s">
        <v>1783</v>
      </c>
      <c r="F714" s="111"/>
      <c r="G714" s="110" t="s">
        <v>2073</v>
      </c>
      <c r="H714" s="141">
        <v>306.570853</v>
      </c>
      <c r="I714" s="280"/>
      <c r="J714" s="72">
        <v>148.52000000000001</v>
      </c>
      <c r="K714" s="271">
        <f t="shared" si="33"/>
        <v>45531.90308756</v>
      </c>
      <c r="L714" s="111"/>
      <c r="M714" s="73"/>
      <c r="N714" s="112"/>
      <c r="O714" s="111"/>
      <c r="P714" s="312">
        <v>0</v>
      </c>
      <c r="Q714" s="288">
        <f t="shared" si="34"/>
        <v>0</v>
      </c>
      <c r="R714" s="118">
        <v>0</v>
      </c>
      <c r="S714" s="283">
        <v>2016</v>
      </c>
      <c r="T714" s="288">
        <f t="shared" si="32"/>
        <v>49338</v>
      </c>
    </row>
    <row r="715" spans="2:20">
      <c r="B715" s="386" t="s">
        <v>820</v>
      </c>
      <c r="C715" s="114"/>
      <c r="D715" s="111" t="s">
        <v>1546</v>
      </c>
      <c r="E715" s="111" t="s">
        <v>1783</v>
      </c>
      <c r="F715" s="111"/>
      <c r="G715" s="110" t="s">
        <v>2073</v>
      </c>
      <c r="H715" s="141">
        <v>28.599993000000001</v>
      </c>
      <c r="I715" s="280"/>
      <c r="J715" s="72">
        <v>148.52000000000001</v>
      </c>
      <c r="K715" s="271">
        <f t="shared" si="33"/>
        <v>4247.6709603600002</v>
      </c>
      <c r="L715" s="111"/>
      <c r="M715" s="73"/>
      <c r="N715" s="112"/>
      <c r="O715" s="111"/>
      <c r="P715" s="312">
        <v>0</v>
      </c>
      <c r="Q715" s="288">
        <f t="shared" si="34"/>
        <v>0</v>
      </c>
      <c r="R715" s="118">
        <v>0</v>
      </c>
      <c r="S715" s="283">
        <v>2016</v>
      </c>
      <c r="T715" s="288">
        <f t="shared" si="32"/>
        <v>4603</v>
      </c>
    </row>
    <row r="716" spans="2:20">
      <c r="B716" s="386" t="s">
        <v>821</v>
      </c>
      <c r="C716" s="114"/>
      <c r="D716" s="111" t="s">
        <v>1546</v>
      </c>
      <c r="E716" s="111" t="s">
        <v>1783</v>
      </c>
      <c r="F716" s="111"/>
      <c r="G716" s="110" t="s">
        <v>2073</v>
      </c>
      <c r="H716" s="141">
        <v>278.00325299999997</v>
      </c>
      <c r="I716" s="280"/>
      <c r="J716" s="72">
        <v>148.52000000000001</v>
      </c>
      <c r="K716" s="271">
        <f t="shared" si="33"/>
        <v>41289.043135560001</v>
      </c>
      <c r="L716" s="111"/>
      <c r="M716" s="73"/>
      <c r="N716" s="112"/>
      <c r="O716" s="111"/>
      <c r="P716" s="312">
        <v>0</v>
      </c>
      <c r="Q716" s="288">
        <f t="shared" si="34"/>
        <v>0</v>
      </c>
      <c r="R716" s="118">
        <v>0</v>
      </c>
      <c r="S716" s="283">
        <v>2016</v>
      </c>
      <c r="T716" s="288">
        <f t="shared" si="32"/>
        <v>44740</v>
      </c>
    </row>
    <row r="717" spans="2:20">
      <c r="B717" s="386" t="s">
        <v>822</v>
      </c>
      <c r="C717" s="114"/>
      <c r="D717" s="111" t="s">
        <v>1546</v>
      </c>
      <c r="E717" s="111" t="s">
        <v>1784</v>
      </c>
      <c r="F717" s="111"/>
      <c r="G717" s="110" t="s">
        <v>2073</v>
      </c>
      <c r="H717" s="141">
        <v>128.22199599999999</v>
      </c>
      <c r="I717" s="280"/>
      <c r="J717" s="72">
        <v>148.52000000000001</v>
      </c>
      <c r="K717" s="271">
        <f t="shared" si="33"/>
        <v>19043.530845919999</v>
      </c>
      <c r="L717" s="111"/>
      <c r="M717" s="73"/>
      <c r="N717" s="112"/>
      <c r="O717" s="111"/>
      <c r="P717" s="312">
        <v>0</v>
      </c>
      <c r="Q717" s="288">
        <f t="shared" si="34"/>
        <v>0</v>
      </c>
      <c r="R717" s="118">
        <v>0</v>
      </c>
      <c r="S717" s="283">
        <v>2016</v>
      </c>
      <c r="T717" s="288">
        <f t="shared" ref="T717:T780" si="35">IFERROR(ROUND((K717*(1+PPI_Existing)^(YEAR-S717))+(R717*((1+LandInd_Existing)^(YEAR-S717))),0),0)</f>
        <v>20635</v>
      </c>
    </row>
    <row r="718" spans="2:20">
      <c r="B718" s="386" t="s">
        <v>823</v>
      </c>
      <c r="C718" s="114"/>
      <c r="D718" s="111" t="s">
        <v>1547</v>
      </c>
      <c r="E718" s="111" t="s">
        <v>1785</v>
      </c>
      <c r="F718" s="111"/>
      <c r="G718" s="110" t="s">
        <v>2073</v>
      </c>
      <c r="H718" s="141">
        <v>1060.9543719999999</v>
      </c>
      <c r="I718" s="280"/>
      <c r="J718" s="72">
        <v>148.52000000000001</v>
      </c>
      <c r="K718" s="271">
        <f t="shared" si="33"/>
        <v>157572.94332943999</v>
      </c>
      <c r="L718" s="111"/>
      <c r="M718" s="73"/>
      <c r="N718" s="112"/>
      <c r="O718" s="111"/>
      <c r="P718" s="312">
        <v>0</v>
      </c>
      <c r="Q718" s="288">
        <f t="shared" si="34"/>
        <v>0</v>
      </c>
      <c r="R718" s="118">
        <v>0</v>
      </c>
      <c r="S718" s="283">
        <v>2016</v>
      </c>
      <c r="T718" s="288">
        <f t="shared" si="35"/>
        <v>170744</v>
      </c>
    </row>
    <row r="719" spans="2:20">
      <c r="B719" s="386" t="s">
        <v>824</v>
      </c>
      <c r="C719" s="114"/>
      <c r="D719" s="111" t="s">
        <v>1547</v>
      </c>
      <c r="E719" s="111" t="s">
        <v>1785</v>
      </c>
      <c r="F719" s="111"/>
      <c r="G719" s="110" t="s">
        <v>2073</v>
      </c>
      <c r="H719" s="141">
        <v>160.19524100000001</v>
      </c>
      <c r="I719" s="280"/>
      <c r="J719" s="72">
        <v>148.52000000000001</v>
      </c>
      <c r="K719" s="271">
        <f t="shared" si="33"/>
        <v>23792.197193320004</v>
      </c>
      <c r="L719" s="111"/>
      <c r="M719" s="73"/>
      <c r="N719" s="112"/>
      <c r="O719" s="111"/>
      <c r="P719" s="312">
        <v>0</v>
      </c>
      <c r="Q719" s="288">
        <f t="shared" si="34"/>
        <v>0</v>
      </c>
      <c r="R719" s="118">
        <v>0</v>
      </c>
      <c r="S719" s="283">
        <v>2016</v>
      </c>
      <c r="T719" s="288">
        <f t="shared" si="35"/>
        <v>25781</v>
      </c>
    </row>
    <row r="720" spans="2:20">
      <c r="B720" s="386" t="s">
        <v>825</v>
      </c>
      <c r="C720" s="114"/>
      <c r="D720" s="111" t="s">
        <v>1547</v>
      </c>
      <c r="E720" s="111" t="s">
        <v>1785</v>
      </c>
      <c r="F720" s="111"/>
      <c r="G720" s="110" t="s">
        <v>2073</v>
      </c>
      <c r="H720" s="141">
        <v>32.094856999999998</v>
      </c>
      <c r="I720" s="280"/>
      <c r="J720" s="72">
        <v>148.52000000000001</v>
      </c>
      <c r="K720" s="271">
        <f t="shared" si="33"/>
        <v>4766.7281616399996</v>
      </c>
      <c r="L720" s="111"/>
      <c r="M720" s="73"/>
      <c r="N720" s="112"/>
      <c r="O720" s="111"/>
      <c r="P720" s="312">
        <v>0</v>
      </c>
      <c r="Q720" s="288">
        <f t="shared" si="34"/>
        <v>0</v>
      </c>
      <c r="R720" s="118">
        <v>0</v>
      </c>
      <c r="S720" s="283">
        <v>2016</v>
      </c>
      <c r="T720" s="288">
        <f t="shared" si="35"/>
        <v>5165</v>
      </c>
    </row>
    <row r="721" spans="2:20">
      <c r="B721" s="386" t="s">
        <v>826</v>
      </c>
      <c r="C721" s="114"/>
      <c r="D721" s="111" t="s">
        <v>1546</v>
      </c>
      <c r="E721" s="111" t="s">
        <v>1786</v>
      </c>
      <c r="F721" s="111"/>
      <c r="G721" s="110" t="s">
        <v>2073</v>
      </c>
      <c r="H721" s="141">
        <v>1433.103576</v>
      </c>
      <c r="I721" s="280"/>
      <c r="J721" s="72">
        <v>148.52000000000001</v>
      </c>
      <c r="K721" s="271">
        <f t="shared" si="33"/>
        <v>212844.54310752</v>
      </c>
      <c r="L721" s="111"/>
      <c r="M721" s="73"/>
      <c r="N721" s="112"/>
      <c r="O721" s="111"/>
      <c r="P721" s="312">
        <v>0</v>
      </c>
      <c r="Q721" s="288">
        <f t="shared" si="34"/>
        <v>0</v>
      </c>
      <c r="R721" s="118">
        <v>0</v>
      </c>
      <c r="S721" s="283">
        <v>2016</v>
      </c>
      <c r="T721" s="288">
        <f t="shared" si="35"/>
        <v>230636</v>
      </c>
    </row>
    <row r="722" spans="2:20">
      <c r="B722" s="386" t="s">
        <v>827</v>
      </c>
      <c r="C722" s="114"/>
      <c r="D722" s="111" t="s">
        <v>1546</v>
      </c>
      <c r="E722" s="111" t="s">
        <v>1786</v>
      </c>
      <c r="F722" s="111"/>
      <c r="G722" s="110" t="s">
        <v>2073</v>
      </c>
      <c r="H722" s="141">
        <v>142.73797999999999</v>
      </c>
      <c r="I722" s="280"/>
      <c r="J722" s="72">
        <v>148.52000000000001</v>
      </c>
      <c r="K722" s="271">
        <f t="shared" si="33"/>
        <v>21199.444789600002</v>
      </c>
      <c r="L722" s="111"/>
      <c r="M722" s="73"/>
      <c r="N722" s="112"/>
      <c r="O722" s="111"/>
      <c r="P722" s="312">
        <v>0</v>
      </c>
      <c r="Q722" s="288">
        <f t="shared" si="34"/>
        <v>0</v>
      </c>
      <c r="R722" s="118">
        <v>0</v>
      </c>
      <c r="S722" s="283">
        <v>2016</v>
      </c>
      <c r="T722" s="288">
        <f t="shared" si="35"/>
        <v>22971</v>
      </c>
    </row>
    <row r="723" spans="2:20">
      <c r="B723" s="386" t="s">
        <v>828</v>
      </c>
      <c r="C723" s="114"/>
      <c r="D723" s="111" t="s">
        <v>1546</v>
      </c>
      <c r="E723" s="111" t="s">
        <v>1786</v>
      </c>
      <c r="F723" s="111"/>
      <c r="G723" s="110" t="s">
        <v>2073</v>
      </c>
      <c r="H723" s="141">
        <v>175.71078299999999</v>
      </c>
      <c r="I723" s="280"/>
      <c r="J723" s="72">
        <v>148.52000000000001</v>
      </c>
      <c r="K723" s="271">
        <f t="shared" si="33"/>
        <v>26096.56549116</v>
      </c>
      <c r="L723" s="111"/>
      <c r="M723" s="73"/>
      <c r="N723" s="112"/>
      <c r="O723" s="111"/>
      <c r="P723" s="312">
        <v>0</v>
      </c>
      <c r="Q723" s="288">
        <f t="shared" si="34"/>
        <v>0</v>
      </c>
      <c r="R723" s="118">
        <v>0</v>
      </c>
      <c r="S723" s="283">
        <v>2016</v>
      </c>
      <c r="T723" s="288">
        <f t="shared" si="35"/>
        <v>28278</v>
      </c>
    </row>
    <row r="724" spans="2:20">
      <c r="B724" s="386" t="s">
        <v>829</v>
      </c>
      <c r="C724" s="114"/>
      <c r="D724" s="111" t="s">
        <v>1546</v>
      </c>
      <c r="E724" s="111" t="s">
        <v>1786</v>
      </c>
      <c r="F724" s="111"/>
      <c r="G724" s="110" t="s">
        <v>2073</v>
      </c>
      <c r="H724" s="141">
        <v>53.613103000000002</v>
      </c>
      <c r="I724" s="280"/>
      <c r="J724" s="72">
        <v>148.52000000000001</v>
      </c>
      <c r="K724" s="271">
        <f t="shared" si="33"/>
        <v>7962.618057560001</v>
      </c>
      <c r="L724" s="111"/>
      <c r="M724" s="73"/>
      <c r="N724" s="112"/>
      <c r="O724" s="111"/>
      <c r="P724" s="312">
        <v>0</v>
      </c>
      <c r="Q724" s="288">
        <f t="shared" si="34"/>
        <v>0</v>
      </c>
      <c r="R724" s="118">
        <v>0</v>
      </c>
      <c r="S724" s="283">
        <v>2016</v>
      </c>
      <c r="T724" s="288">
        <f t="shared" si="35"/>
        <v>8628</v>
      </c>
    </row>
    <row r="725" spans="2:20">
      <c r="B725" s="386" t="s">
        <v>830</v>
      </c>
      <c r="C725" s="114"/>
      <c r="D725" s="111" t="s">
        <v>1546</v>
      </c>
      <c r="E725" s="111" t="s">
        <v>1786</v>
      </c>
      <c r="F725" s="111"/>
      <c r="G725" s="110" t="s">
        <v>2073</v>
      </c>
      <c r="H725" s="141">
        <v>98.732940999999997</v>
      </c>
      <c r="I725" s="280"/>
      <c r="J725" s="72">
        <v>148.52000000000001</v>
      </c>
      <c r="K725" s="271">
        <f t="shared" si="33"/>
        <v>14663.816397320001</v>
      </c>
      <c r="L725" s="111"/>
      <c r="M725" s="73"/>
      <c r="N725" s="112"/>
      <c r="O725" s="111"/>
      <c r="P725" s="312">
        <v>0</v>
      </c>
      <c r="Q725" s="288">
        <f t="shared" si="34"/>
        <v>0</v>
      </c>
      <c r="R725" s="118">
        <v>0</v>
      </c>
      <c r="S725" s="283">
        <v>2016</v>
      </c>
      <c r="T725" s="288">
        <f t="shared" si="35"/>
        <v>15890</v>
      </c>
    </row>
    <row r="726" spans="2:20">
      <c r="B726" s="386" t="s">
        <v>831</v>
      </c>
      <c r="C726" s="114"/>
      <c r="D726" s="111" t="s">
        <v>1546</v>
      </c>
      <c r="E726" s="111" t="s">
        <v>1786</v>
      </c>
      <c r="F726" s="111"/>
      <c r="G726" s="110" t="s">
        <v>2073</v>
      </c>
      <c r="H726" s="141">
        <v>281.999954</v>
      </c>
      <c r="I726" s="280"/>
      <c r="J726" s="72">
        <v>148.52000000000001</v>
      </c>
      <c r="K726" s="271">
        <f t="shared" si="33"/>
        <v>41882.633168080007</v>
      </c>
      <c r="L726" s="111"/>
      <c r="M726" s="73"/>
      <c r="N726" s="112"/>
      <c r="O726" s="111"/>
      <c r="P726" s="312">
        <v>0</v>
      </c>
      <c r="Q726" s="288">
        <f t="shared" si="34"/>
        <v>0</v>
      </c>
      <c r="R726" s="118">
        <v>0</v>
      </c>
      <c r="S726" s="283">
        <v>2016</v>
      </c>
      <c r="T726" s="288">
        <f t="shared" si="35"/>
        <v>45384</v>
      </c>
    </row>
    <row r="727" spans="2:20">
      <c r="B727" s="386" t="s">
        <v>832</v>
      </c>
      <c r="C727" s="114"/>
      <c r="D727" s="111" t="s">
        <v>1546</v>
      </c>
      <c r="E727" s="111" t="s">
        <v>1786</v>
      </c>
      <c r="F727" s="111"/>
      <c r="G727" s="110" t="s">
        <v>2073</v>
      </c>
      <c r="H727" s="141">
        <v>107.007937</v>
      </c>
      <c r="I727" s="280"/>
      <c r="J727" s="72">
        <v>148.52000000000001</v>
      </c>
      <c r="K727" s="271">
        <f t="shared" si="33"/>
        <v>15892.818803240001</v>
      </c>
      <c r="L727" s="111"/>
      <c r="M727" s="73"/>
      <c r="N727" s="112"/>
      <c r="O727" s="111"/>
      <c r="P727" s="312">
        <v>0</v>
      </c>
      <c r="Q727" s="288">
        <f t="shared" si="34"/>
        <v>0</v>
      </c>
      <c r="R727" s="118">
        <v>0</v>
      </c>
      <c r="S727" s="283">
        <v>2016</v>
      </c>
      <c r="T727" s="288">
        <f t="shared" si="35"/>
        <v>17221</v>
      </c>
    </row>
    <row r="728" spans="2:20">
      <c r="B728" s="386" t="s">
        <v>833</v>
      </c>
      <c r="C728" s="114"/>
      <c r="D728" s="111" t="s">
        <v>1547</v>
      </c>
      <c r="E728" s="111" t="s">
        <v>1787</v>
      </c>
      <c r="F728" s="111"/>
      <c r="G728" s="110" t="s">
        <v>2073</v>
      </c>
      <c r="H728" s="141">
        <v>57.199423000000003</v>
      </c>
      <c r="I728" s="280"/>
      <c r="J728" s="72">
        <v>148.52000000000001</v>
      </c>
      <c r="K728" s="271">
        <f t="shared" si="33"/>
        <v>8495.2583039600013</v>
      </c>
      <c r="L728" s="111"/>
      <c r="M728" s="73"/>
      <c r="N728" s="112"/>
      <c r="O728" s="111"/>
      <c r="P728" s="312">
        <v>0</v>
      </c>
      <c r="Q728" s="288">
        <f t="shared" si="34"/>
        <v>0</v>
      </c>
      <c r="R728" s="118">
        <v>0</v>
      </c>
      <c r="S728" s="283">
        <v>2016</v>
      </c>
      <c r="T728" s="288">
        <f t="shared" si="35"/>
        <v>9205</v>
      </c>
    </row>
    <row r="729" spans="2:20">
      <c r="B729" s="386" t="s">
        <v>834</v>
      </c>
      <c r="C729" s="114"/>
      <c r="D729" s="111" t="s">
        <v>1546</v>
      </c>
      <c r="E729" s="111" t="s">
        <v>1788</v>
      </c>
      <c r="F729" s="111"/>
      <c r="G729" s="110" t="s">
        <v>2073</v>
      </c>
      <c r="H729" s="141">
        <v>187.90355400000001</v>
      </c>
      <c r="I729" s="280"/>
      <c r="J729" s="72">
        <v>148.52000000000001</v>
      </c>
      <c r="K729" s="271">
        <f t="shared" si="33"/>
        <v>27907.435840080005</v>
      </c>
      <c r="L729" s="111"/>
      <c r="M729" s="73"/>
      <c r="N729" s="112"/>
      <c r="O729" s="111"/>
      <c r="P729" s="312">
        <v>0</v>
      </c>
      <c r="Q729" s="288">
        <f t="shared" si="34"/>
        <v>0</v>
      </c>
      <c r="R729" s="118">
        <v>0</v>
      </c>
      <c r="S729" s="283">
        <v>2016</v>
      </c>
      <c r="T729" s="288">
        <f t="shared" si="35"/>
        <v>30240</v>
      </c>
    </row>
    <row r="730" spans="2:20">
      <c r="B730" s="386" t="s">
        <v>835</v>
      </c>
      <c r="C730" s="114"/>
      <c r="D730" s="111" t="s">
        <v>1546</v>
      </c>
      <c r="E730" s="111" t="s">
        <v>1788</v>
      </c>
      <c r="F730" s="111"/>
      <c r="G730" s="110" t="s">
        <v>2073</v>
      </c>
      <c r="H730" s="141">
        <v>25.000038</v>
      </c>
      <c r="I730" s="280"/>
      <c r="J730" s="72">
        <v>148.52000000000001</v>
      </c>
      <c r="K730" s="271">
        <f t="shared" si="33"/>
        <v>3713.0056437600001</v>
      </c>
      <c r="L730" s="111"/>
      <c r="M730" s="73"/>
      <c r="N730" s="112"/>
      <c r="O730" s="111"/>
      <c r="P730" s="312">
        <v>0</v>
      </c>
      <c r="Q730" s="288">
        <f t="shared" si="34"/>
        <v>0</v>
      </c>
      <c r="R730" s="118">
        <v>0</v>
      </c>
      <c r="S730" s="283">
        <v>2016</v>
      </c>
      <c r="T730" s="288">
        <f t="shared" si="35"/>
        <v>4023</v>
      </c>
    </row>
    <row r="731" spans="2:20">
      <c r="B731" s="386" t="s">
        <v>836</v>
      </c>
      <c r="C731" s="114"/>
      <c r="D731" s="111" t="s">
        <v>1546</v>
      </c>
      <c r="E731" s="111" t="s">
        <v>1788</v>
      </c>
      <c r="F731" s="111"/>
      <c r="G731" s="110" t="s">
        <v>2073</v>
      </c>
      <c r="H731" s="141">
        <v>21.49933</v>
      </c>
      <c r="I731" s="280"/>
      <c r="J731" s="72">
        <v>148.52000000000001</v>
      </c>
      <c r="K731" s="271">
        <f t="shared" si="33"/>
        <v>3193.0804916000002</v>
      </c>
      <c r="L731" s="111"/>
      <c r="M731" s="73"/>
      <c r="N731" s="112"/>
      <c r="O731" s="111"/>
      <c r="P731" s="312">
        <v>0</v>
      </c>
      <c r="Q731" s="288">
        <f t="shared" si="34"/>
        <v>0</v>
      </c>
      <c r="R731" s="118">
        <v>0</v>
      </c>
      <c r="S731" s="283">
        <v>2016</v>
      </c>
      <c r="T731" s="288">
        <f t="shared" si="35"/>
        <v>3460</v>
      </c>
    </row>
    <row r="732" spans="2:20">
      <c r="B732" s="386" t="s">
        <v>837</v>
      </c>
      <c r="C732" s="114"/>
      <c r="D732" s="111" t="s">
        <v>1546</v>
      </c>
      <c r="E732" s="111" t="s">
        <v>1788</v>
      </c>
      <c r="F732" s="111"/>
      <c r="G732" s="110" t="s">
        <v>2073</v>
      </c>
      <c r="H732" s="141">
        <v>47.791454999999999</v>
      </c>
      <c r="I732" s="280"/>
      <c r="J732" s="72">
        <v>148.52000000000001</v>
      </c>
      <c r="K732" s="271">
        <f t="shared" si="33"/>
        <v>7097.9868966000004</v>
      </c>
      <c r="L732" s="111"/>
      <c r="M732" s="73"/>
      <c r="N732" s="112"/>
      <c r="O732" s="111"/>
      <c r="P732" s="312">
        <v>0</v>
      </c>
      <c r="Q732" s="288">
        <f t="shared" si="34"/>
        <v>0</v>
      </c>
      <c r="R732" s="118">
        <v>0</v>
      </c>
      <c r="S732" s="283">
        <v>2016</v>
      </c>
      <c r="T732" s="288">
        <f t="shared" si="35"/>
        <v>7691</v>
      </c>
    </row>
    <row r="733" spans="2:20">
      <c r="B733" s="386" t="s">
        <v>838</v>
      </c>
      <c r="C733" s="114"/>
      <c r="D733" s="111" t="s">
        <v>1546</v>
      </c>
      <c r="E733" s="111" t="s">
        <v>1788</v>
      </c>
      <c r="F733" s="111"/>
      <c r="G733" s="110" t="s">
        <v>2073</v>
      </c>
      <c r="H733" s="141">
        <v>33.667521999999998</v>
      </c>
      <c r="I733" s="280"/>
      <c r="J733" s="72">
        <v>148.52000000000001</v>
      </c>
      <c r="K733" s="271">
        <f t="shared" si="33"/>
        <v>5000.3003674399997</v>
      </c>
      <c r="L733" s="111"/>
      <c r="M733" s="73"/>
      <c r="N733" s="112"/>
      <c r="O733" s="111"/>
      <c r="P733" s="312">
        <v>0</v>
      </c>
      <c r="Q733" s="288">
        <f t="shared" si="34"/>
        <v>0</v>
      </c>
      <c r="R733" s="118">
        <v>0</v>
      </c>
      <c r="S733" s="283">
        <v>2016</v>
      </c>
      <c r="T733" s="288">
        <f t="shared" si="35"/>
        <v>5418</v>
      </c>
    </row>
    <row r="734" spans="2:20">
      <c r="B734" s="386" t="s">
        <v>839</v>
      </c>
      <c r="C734" s="114"/>
      <c r="D734" s="111" t="s">
        <v>1546</v>
      </c>
      <c r="E734" s="111" t="s">
        <v>1788</v>
      </c>
      <c r="F734" s="111"/>
      <c r="G734" s="110" t="s">
        <v>2073</v>
      </c>
      <c r="H734" s="141">
        <v>30.000059</v>
      </c>
      <c r="I734" s="280"/>
      <c r="J734" s="72">
        <v>148.52000000000001</v>
      </c>
      <c r="K734" s="271">
        <f t="shared" si="33"/>
        <v>4455.6087626799999</v>
      </c>
      <c r="L734" s="111"/>
      <c r="M734" s="73"/>
      <c r="N734" s="112"/>
      <c r="O734" s="111"/>
      <c r="P734" s="312">
        <v>0</v>
      </c>
      <c r="Q734" s="288">
        <f t="shared" si="34"/>
        <v>0</v>
      </c>
      <c r="R734" s="118">
        <v>0</v>
      </c>
      <c r="S734" s="283">
        <v>2016</v>
      </c>
      <c r="T734" s="288">
        <f t="shared" si="35"/>
        <v>4828</v>
      </c>
    </row>
    <row r="735" spans="2:20">
      <c r="B735" s="386" t="s">
        <v>840</v>
      </c>
      <c r="C735" s="114"/>
      <c r="D735" s="111" t="s">
        <v>1547</v>
      </c>
      <c r="E735" s="111" t="s">
        <v>1788</v>
      </c>
      <c r="F735" s="111"/>
      <c r="G735" s="110" t="s">
        <v>2073</v>
      </c>
      <c r="H735" s="141">
        <v>31.151105999999999</v>
      </c>
      <c r="I735" s="280"/>
      <c r="J735" s="72">
        <v>148.52000000000001</v>
      </c>
      <c r="K735" s="271">
        <f t="shared" si="33"/>
        <v>4626.5622631200004</v>
      </c>
      <c r="L735" s="111"/>
      <c r="M735" s="73"/>
      <c r="N735" s="112"/>
      <c r="O735" s="111"/>
      <c r="P735" s="312">
        <v>0</v>
      </c>
      <c r="Q735" s="288">
        <f t="shared" si="34"/>
        <v>0</v>
      </c>
      <c r="R735" s="118">
        <v>0</v>
      </c>
      <c r="S735" s="283">
        <v>2016</v>
      </c>
      <c r="T735" s="288">
        <f t="shared" si="35"/>
        <v>5013</v>
      </c>
    </row>
    <row r="736" spans="2:20">
      <c r="B736" s="386" t="s">
        <v>841</v>
      </c>
      <c r="C736" s="114"/>
      <c r="D736" s="111" t="s">
        <v>1546</v>
      </c>
      <c r="E736" s="111" t="s">
        <v>1789</v>
      </c>
      <c r="F736" s="111"/>
      <c r="G736" s="110" t="s">
        <v>2073</v>
      </c>
      <c r="H736" s="141">
        <v>165.889961</v>
      </c>
      <c r="I736" s="280"/>
      <c r="J736" s="72">
        <v>148.52000000000001</v>
      </c>
      <c r="K736" s="271">
        <f t="shared" si="33"/>
        <v>24637.977007720001</v>
      </c>
      <c r="L736" s="111"/>
      <c r="M736" s="73"/>
      <c r="N736" s="112"/>
      <c r="O736" s="111"/>
      <c r="P736" s="312">
        <v>0</v>
      </c>
      <c r="Q736" s="288">
        <f t="shared" si="34"/>
        <v>0</v>
      </c>
      <c r="R736" s="118">
        <v>0</v>
      </c>
      <c r="S736" s="283">
        <v>2016</v>
      </c>
      <c r="T736" s="288">
        <f t="shared" si="35"/>
        <v>26697</v>
      </c>
    </row>
    <row r="737" spans="2:20">
      <c r="B737" s="386" t="s">
        <v>842</v>
      </c>
      <c r="C737" s="114"/>
      <c r="D737" s="111" t="s">
        <v>1546</v>
      </c>
      <c r="E737" s="111" t="s">
        <v>1789</v>
      </c>
      <c r="F737" s="111"/>
      <c r="G737" s="110" t="s">
        <v>2073</v>
      </c>
      <c r="H737" s="141">
        <v>411.63499100000001</v>
      </c>
      <c r="I737" s="280"/>
      <c r="J737" s="72">
        <v>148.52000000000001</v>
      </c>
      <c r="K737" s="271">
        <f t="shared" si="33"/>
        <v>61136.028863320003</v>
      </c>
      <c r="L737" s="111"/>
      <c r="M737" s="73"/>
      <c r="N737" s="112"/>
      <c r="O737" s="111"/>
      <c r="P737" s="312">
        <v>0</v>
      </c>
      <c r="Q737" s="288">
        <f t="shared" si="34"/>
        <v>0</v>
      </c>
      <c r="R737" s="118">
        <v>0</v>
      </c>
      <c r="S737" s="283">
        <v>2016</v>
      </c>
      <c r="T737" s="288">
        <f t="shared" si="35"/>
        <v>66246</v>
      </c>
    </row>
    <row r="738" spans="2:20">
      <c r="B738" s="386" t="s">
        <v>843</v>
      </c>
      <c r="C738" s="114"/>
      <c r="D738" s="111" t="s">
        <v>1546</v>
      </c>
      <c r="E738" s="111" t="s">
        <v>1789</v>
      </c>
      <c r="F738" s="111"/>
      <c r="G738" s="110" t="s">
        <v>2073</v>
      </c>
      <c r="H738" s="141">
        <v>410.80497200000002</v>
      </c>
      <c r="I738" s="280"/>
      <c r="J738" s="72">
        <v>148.52000000000001</v>
      </c>
      <c r="K738" s="271">
        <f t="shared" si="33"/>
        <v>61012.754441440011</v>
      </c>
      <c r="L738" s="111"/>
      <c r="M738" s="73"/>
      <c r="N738" s="112"/>
      <c r="O738" s="111"/>
      <c r="P738" s="312">
        <v>0</v>
      </c>
      <c r="Q738" s="288">
        <f t="shared" si="34"/>
        <v>0</v>
      </c>
      <c r="R738" s="118">
        <v>0</v>
      </c>
      <c r="S738" s="283">
        <v>2016</v>
      </c>
      <c r="T738" s="288">
        <f t="shared" si="35"/>
        <v>66113</v>
      </c>
    </row>
    <row r="739" spans="2:20">
      <c r="B739" s="386" t="s">
        <v>844</v>
      </c>
      <c r="C739" s="114"/>
      <c r="D739" s="111" t="s">
        <v>1546</v>
      </c>
      <c r="E739" s="111" t="s">
        <v>1789</v>
      </c>
      <c r="F739" s="111"/>
      <c r="G739" s="110" t="s">
        <v>2073</v>
      </c>
      <c r="H739" s="141">
        <v>782.667868</v>
      </c>
      <c r="I739" s="280"/>
      <c r="J739" s="72">
        <v>148.52000000000001</v>
      </c>
      <c r="K739" s="271">
        <f t="shared" si="33"/>
        <v>116241.83175536001</v>
      </c>
      <c r="L739" s="111"/>
      <c r="M739" s="73"/>
      <c r="N739" s="112"/>
      <c r="O739" s="111"/>
      <c r="P739" s="312">
        <v>0</v>
      </c>
      <c r="Q739" s="288">
        <f t="shared" si="34"/>
        <v>0</v>
      </c>
      <c r="R739" s="118">
        <v>0</v>
      </c>
      <c r="S739" s="283">
        <v>2016</v>
      </c>
      <c r="T739" s="288">
        <f t="shared" si="35"/>
        <v>125958</v>
      </c>
    </row>
    <row r="740" spans="2:20">
      <c r="B740" s="386" t="s">
        <v>845</v>
      </c>
      <c r="C740" s="114"/>
      <c r="D740" s="111" t="s">
        <v>1546</v>
      </c>
      <c r="E740" s="111" t="s">
        <v>1789</v>
      </c>
      <c r="F740" s="111"/>
      <c r="G740" s="110" t="s">
        <v>2073</v>
      </c>
      <c r="H740" s="141">
        <v>99.000050000000002</v>
      </c>
      <c r="I740" s="280"/>
      <c r="J740" s="72">
        <v>148.52000000000001</v>
      </c>
      <c r="K740" s="271">
        <f t="shared" si="33"/>
        <v>14703.487426000002</v>
      </c>
      <c r="L740" s="111"/>
      <c r="M740" s="73"/>
      <c r="N740" s="112"/>
      <c r="O740" s="111"/>
      <c r="P740" s="312">
        <v>0</v>
      </c>
      <c r="Q740" s="288">
        <f t="shared" si="34"/>
        <v>0</v>
      </c>
      <c r="R740" s="118">
        <v>0</v>
      </c>
      <c r="S740" s="283">
        <v>2016</v>
      </c>
      <c r="T740" s="288">
        <f t="shared" si="35"/>
        <v>15933</v>
      </c>
    </row>
    <row r="741" spans="2:20">
      <c r="B741" s="386" t="s">
        <v>846</v>
      </c>
      <c r="C741" s="114"/>
      <c r="D741" s="111" t="s">
        <v>1547</v>
      </c>
      <c r="E741" s="111" t="s">
        <v>1790</v>
      </c>
      <c r="F741" s="111"/>
      <c r="G741" s="110" t="s">
        <v>2073</v>
      </c>
      <c r="H741" s="141">
        <v>739.11359500000003</v>
      </c>
      <c r="I741" s="280"/>
      <c r="J741" s="72">
        <v>148.52000000000001</v>
      </c>
      <c r="K741" s="271">
        <f t="shared" si="33"/>
        <v>109773.15112940001</v>
      </c>
      <c r="L741" s="111"/>
      <c r="M741" s="73"/>
      <c r="N741" s="112"/>
      <c r="O741" s="111"/>
      <c r="P741" s="312">
        <v>0</v>
      </c>
      <c r="Q741" s="288">
        <f t="shared" si="34"/>
        <v>0</v>
      </c>
      <c r="R741" s="118">
        <v>0</v>
      </c>
      <c r="S741" s="283">
        <v>2016</v>
      </c>
      <c r="T741" s="288">
        <f t="shared" si="35"/>
        <v>118949</v>
      </c>
    </row>
    <row r="742" spans="2:20">
      <c r="B742" s="386" t="s">
        <v>847</v>
      </c>
      <c r="C742" s="114"/>
      <c r="D742" s="111" t="s">
        <v>1547</v>
      </c>
      <c r="E742" s="111" t="s">
        <v>1777</v>
      </c>
      <c r="F742" s="111"/>
      <c r="G742" s="110" t="s">
        <v>2073</v>
      </c>
      <c r="H742" s="141">
        <v>799.49421199999995</v>
      </c>
      <c r="I742" s="280"/>
      <c r="J742" s="72">
        <v>148.52000000000001</v>
      </c>
      <c r="K742" s="271">
        <f t="shared" si="33"/>
        <v>118740.88036624</v>
      </c>
      <c r="L742" s="111"/>
      <c r="M742" s="73"/>
      <c r="N742" s="112"/>
      <c r="O742" s="111"/>
      <c r="P742" s="312">
        <v>0</v>
      </c>
      <c r="Q742" s="288">
        <f t="shared" si="34"/>
        <v>0</v>
      </c>
      <c r="R742" s="118">
        <v>0</v>
      </c>
      <c r="S742" s="283">
        <v>2016</v>
      </c>
      <c r="T742" s="288">
        <f t="shared" si="35"/>
        <v>128666</v>
      </c>
    </row>
    <row r="743" spans="2:20">
      <c r="B743" s="386" t="s">
        <v>848</v>
      </c>
      <c r="C743" s="114"/>
      <c r="D743" s="111" t="s">
        <v>1546</v>
      </c>
      <c r="E743" s="111" t="s">
        <v>1791</v>
      </c>
      <c r="F743" s="111"/>
      <c r="G743" s="110" t="s">
        <v>2073</v>
      </c>
      <c r="H743" s="141">
        <v>354.00862799999999</v>
      </c>
      <c r="I743" s="280"/>
      <c r="J743" s="72">
        <v>148.52000000000001</v>
      </c>
      <c r="K743" s="271">
        <f t="shared" si="33"/>
        <v>52577.361430559999</v>
      </c>
      <c r="L743" s="111"/>
      <c r="M743" s="73"/>
      <c r="N743" s="112"/>
      <c r="O743" s="111"/>
      <c r="P743" s="312">
        <v>0</v>
      </c>
      <c r="Q743" s="288">
        <f t="shared" si="34"/>
        <v>0</v>
      </c>
      <c r="R743" s="118">
        <v>0</v>
      </c>
      <c r="S743" s="283">
        <v>2016</v>
      </c>
      <c r="T743" s="288">
        <f t="shared" si="35"/>
        <v>56972</v>
      </c>
    </row>
    <row r="744" spans="2:20">
      <c r="B744" s="386" t="s">
        <v>849</v>
      </c>
      <c r="C744" s="114"/>
      <c r="D744" s="111" t="s">
        <v>1546</v>
      </c>
      <c r="E744" s="111" t="s">
        <v>1791</v>
      </c>
      <c r="F744" s="111"/>
      <c r="G744" s="110" t="s">
        <v>2073</v>
      </c>
      <c r="H744" s="141">
        <v>437.34394700000001</v>
      </c>
      <c r="I744" s="280"/>
      <c r="J744" s="72">
        <v>148.52000000000001</v>
      </c>
      <c r="K744" s="271">
        <f t="shared" si="33"/>
        <v>64954.323008440006</v>
      </c>
      <c r="L744" s="111"/>
      <c r="M744" s="73"/>
      <c r="N744" s="112"/>
      <c r="O744" s="111"/>
      <c r="P744" s="312">
        <v>0</v>
      </c>
      <c r="Q744" s="288">
        <f t="shared" si="34"/>
        <v>0</v>
      </c>
      <c r="R744" s="118">
        <v>0</v>
      </c>
      <c r="S744" s="283">
        <v>2016</v>
      </c>
      <c r="T744" s="288">
        <f t="shared" si="35"/>
        <v>70384</v>
      </c>
    </row>
    <row r="745" spans="2:20">
      <c r="B745" s="386" t="s">
        <v>850</v>
      </c>
      <c r="C745" s="114"/>
      <c r="D745" s="111" t="s">
        <v>1546</v>
      </c>
      <c r="E745" s="111" t="s">
        <v>1792</v>
      </c>
      <c r="F745" s="111"/>
      <c r="G745" s="110" t="s">
        <v>2073</v>
      </c>
      <c r="H745" s="141">
        <v>103.166561</v>
      </c>
      <c r="I745" s="280"/>
      <c r="J745" s="72">
        <v>148.52000000000001</v>
      </c>
      <c r="K745" s="271">
        <f t="shared" si="33"/>
        <v>15322.297639720002</v>
      </c>
      <c r="L745" s="111"/>
      <c r="M745" s="73"/>
      <c r="N745" s="112"/>
      <c r="O745" s="111"/>
      <c r="P745" s="312">
        <v>0</v>
      </c>
      <c r="Q745" s="288">
        <f t="shared" si="34"/>
        <v>0</v>
      </c>
      <c r="R745" s="118">
        <v>0</v>
      </c>
      <c r="S745" s="283">
        <v>2016</v>
      </c>
      <c r="T745" s="288">
        <f t="shared" si="35"/>
        <v>16603</v>
      </c>
    </row>
    <row r="746" spans="2:20">
      <c r="B746" s="386" t="s">
        <v>851</v>
      </c>
      <c r="C746" s="114"/>
      <c r="D746" s="111" t="s">
        <v>1547</v>
      </c>
      <c r="E746" s="111" t="s">
        <v>1792</v>
      </c>
      <c r="F746" s="111"/>
      <c r="G746" s="110" t="s">
        <v>2073</v>
      </c>
      <c r="H746" s="141">
        <v>1381.4719869999999</v>
      </c>
      <c r="I746" s="280"/>
      <c r="J746" s="72">
        <v>148.52000000000001</v>
      </c>
      <c r="K746" s="271">
        <f t="shared" si="33"/>
        <v>205176.21950924001</v>
      </c>
      <c r="L746" s="111"/>
      <c r="M746" s="73"/>
      <c r="N746" s="112"/>
      <c r="O746" s="111"/>
      <c r="P746" s="312">
        <v>0</v>
      </c>
      <c r="Q746" s="288">
        <f t="shared" si="34"/>
        <v>0</v>
      </c>
      <c r="R746" s="118">
        <v>0</v>
      </c>
      <c r="S746" s="283">
        <v>2016</v>
      </c>
      <c r="T746" s="288">
        <f t="shared" si="35"/>
        <v>222327</v>
      </c>
    </row>
    <row r="747" spans="2:20">
      <c r="B747" s="386" t="s">
        <v>852</v>
      </c>
      <c r="C747" s="114"/>
      <c r="D747" s="111" t="s">
        <v>1547</v>
      </c>
      <c r="E747" s="111" t="s">
        <v>1778</v>
      </c>
      <c r="F747" s="111"/>
      <c r="G747" s="110" t="s">
        <v>2073</v>
      </c>
      <c r="H747" s="141">
        <v>854.04366600000003</v>
      </c>
      <c r="I747" s="280"/>
      <c r="J747" s="72">
        <v>148.52000000000001</v>
      </c>
      <c r="K747" s="271">
        <f t="shared" si="33"/>
        <v>126842.56527432002</v>
      </c>
      <c r="L747" s="111"/>
      <c r="M747" s="73"/>
      <c r="N747" s="112"/>
      <c r="O747" s="111"/>
      <c r="P747" s="312">
        <v>0</v>
      </c>
      <c r="Q747" s="288">
        <f t="shared" si="34"/>
        <v>0</v>
      </c>
      <c r="R747" s="118">
        <v>0</v>
      </c>
      <c r="S747" s="283">
        <v>2016</v>
      </c>
      <c r="T747" s="288">
        <f t="shared" si="35"/>
        <v>137445</v>
      </c>
    </row>
    <row r="748" spans="2:20">
      <c r="B748" s="386" t="s">
        <v>853</v>
      </c>
      <c r="C748" s="114"/>
      <c r="D748" s="111" t="s">
        <v>1546</v>
      </c>
      <c r="E748" s="111" t="s">
        <v>1793</v>
      </c>
      <c r="F748" s="111"/>
      <c r="G748" s="110" t="s">
        <v>2073</v>
      </c>
      <c r="H748" s="141">
        <v>939.81994999999995</v>
      </c>
      <c r="I748" s="280"/>
      <c r="J748" s="72">
        <v>148.52000000000001</v>
      </c>
      <c r="K748" s="271">
        <f t="shared" si="33"/>
        <v>139582.05897400001</v>
      </c>
      <c r="L748" s="111"/>
      <c r="M748" s="73"/>
      <c r="N748" s="112"/>
      <c r="O748" s="111"/>
      <c r="P748" s="312">
        <v>0</v>
      </c>
      <c r="Q748" s="288">
        <f t="shared" si="34"/>
        <v>0</v>
      </c>
      <c r="R748" s="118">
        <v>0</v>
      </c>
      <c r="S748" s="283">
        <v>2016</v>
      </c>
      <c r="T748" s="288">
        <f t="shared" si="35"/>
        <v>151250</v>
      </c>
    </row>
    <row r="749" spans="2:20">
      <c r="B749" s="386" t="s">
        <v>854</v>
      </c>
      <c r="C749" s="114"/>
      <c r="D749" s="111" t="s">
        <v>1546</v>
      </c>
      <c r="E749" s="111" t="s">
        <v>1793</v>
      </c>
      <c r="F749" s="111"/>
      <c r="G749" s="110" t="s">
        <v>2073</v>
      </c>
      <c r="H749" s="141">
        <v>251.50014200000001</v>
      </c>
      <c r="I749" s="280"/>
      <c r="J749" s="72">
        <v>148.52000000000001</v>
      </c>
      <c r="K749" s="271">
        <f t="shared" si="33"/>
        <v>37352.801089840003</v>
      </c>
      <c r="L749" s="111"/>
      <c r="M749" s="73"/>
      <c r="N749" s="112"/>
      <c r="O749" s="111"/>
      <c r="P749" s="312">
        <v>0</v>
      </c>
      <c r="Q749" s="288">
        <f t="shared" si="34"/>
        <v>0</v>
      </c>
      <c r="R749" s="118">
        <v>0</v>
      </c>
      <c r="S749" s="283">
        <v>2016</v>
      </c>
      <c r="T749" s="288">
        <f t="shared" si="35"/>
        <v>40475</v>
      </c>
    </row>
    <row r="750" spans="2:20">
      <c r="B750" s="386" t="s">
        <v>855</v>
      </c>
      <c r="C750" s="114"/>
      <c r="D750" s="111" t="s">
        <v>1547</v>
      </c>
      <c r="E750" s="111" t="s">
        <v>1793</v>
      </c>
      <c r="F750" s="111"/>
      <c r="G750" s="110" t="s">
        <v>2073</v>
      </c>
      <c r="H750" s="141">
        <v>28.817613000000001</v>
      </c>
      <c r="I750" s="280"/>
      <c r="J750" s="72">
        <v>148.52000000000001</v>
      </c>
      <c r="K750" s="271">
        <f t="shared" si="33"/>
        <v>4279.9918827600004</v>
      </c>
      <c r="L750" s="111"/>
      <c r="M750" s="73"/>
      <c r="N750" s="112"/>
      <c r="O750" s="111"/>
      <c r="P750" s="312">
        <v>0</v>
      </c>
      <c r="Q750" s="288">
        <f t="shared" si="34"/>
        <v>0</v>
      </c>
      <c r="R750" s="118">
        <v>0</v>
      </c>
      <c r="S750" s="283">
        <v>2016</v>
      </c>
      <c r="T750" s="288">
        <f t="shared" si="35"/>
        <v>4638</v>
      </c>
    </row>
    <row r="751" spans="2:20">
      <c r="B751" s="386" t="s">
        <v>856</v>
      </c>
      <c r="C751" s="114"/>
      <c r="D751" s="111" t="s">
        <v>1547</v>
      </c>
      <c r="E751" s="111" t="s">
        <v>1793</v>
      </c>
      <c r="F751" s="111"/>
      <c r="G751" s="110" t="s">
        <v>2073</v>
      </c>
      <c r="H751" s="141">
        <v>250.19989200000001</v>
      </c>
      <c r="I751" s="280"/>
      <c r="J751" s="72">
        <v>148.52000000000001</v>
      </c>
      <c r="K751" s="271">
        <f t="shared" si="33"/>
        <v>37159.687959840005</v>
      </c>
      <c r="L751" s="111"/>
      <c r="M751" s="73"/>
      <c r="N751" s="112"/>
      <c r="O751" s="111"/>
      <c r="P751" s="312">
        <v>0</v>
      </c>
      <c r="Q751" s="288">
        <f t="shared" si="34"/>
        <v>0</v>
      </c>
      <c r="R751" s="118">
        <v>0</v>
      </c>
      <c r="S751" s="283">
        <v>2016</v>
      </c>
      <c r="T751" s="288">
        <f t="shared" si="35"/>
        <v>40266</v>
      </c>
    </row>
    <row r="752" spans="2:20">
      <c r="B752" s="386" t="s">
        <v>857</v>
      </c>
      <c r="C752" s="114"/>
      <c r="D752" s="111" t="s">
        <v>1547</v>
      </c>
      <c r="E752" s="111" t="s">
        <v>1793</v>
      </c>
      <c r="F752" s="111"/>
      <c r="G752" s="110" t="s">
        <v>2073</v>
      </c>
      <c r="H752" s="141">
        <v>400.25951700000002</v>
      </c>
      <c r="I752" s="280"/>
      <c r="J752" s="72">
        <v>148.52000000000001</v>
      </c>
      <c r="K752" s="271">
        <f t="shared" ref="K752:K811" si="36">J752*H752</f>
        <v>59446.543464840004</v>
      </c>
      <c r="L752" s="111"/>
      <c r="M752" s="73"/>
      <c r="N752" s="112"/>
      <c r="O752" s="111"/>
      <c r="P752" s="312">
        <v>0</v>
      </c>
      <c r="Q752" s="288">
        <f t="shared" ref="Q752:Q811" si="37">IFERROR(R752/P752,0)</f>
        <v>0</v>
      </c>
      <c r="R752" s="118">
        <v>0</v>
      </c>
      <c r="S752" s="283">
        <v>2016</v>
      </c>
      <c r="T752" s="288">
        <f t="shared" si="35"/>
        <v>64416</v>
      </c>
    </row>
    <row r="753" spans="2:20">
      <c r="B753" s="386" t="s">
        <v>858</v>
      </c>
      <c r="C753" s="114"/>
      <c r="D753" s="111" t="s">
        <v>1547</v>
      </c>
      <c r="E753" s="111" t="s">
        <v>42</v>
      </c>
      <c r="F753" s="111"/>
      <c r="G753" s="110" t="s">
        <v>2073</v>
      </c>
      <c r="H753" s="141">
        <v>615.37988299999995</v>
      </c>
      <c r="I753" s="280"/>
      <c r="J753" s="72">
        <v>148.52000000000001</v>
      </c>
      <c r="K753" s="271">
        <f t="shared" si="36"/>
        <v>91396.220223159995</v>
      </c>
      <c r="L753" s="111"/>
      <c r="M753" s="73"/>
      <c r="N753" s="112"/>
      <c r="O753" s="111"/>
      <c r="P753" s="312">
        <v>0</v>
      </c>
      <c r="Q753" s="288">
        <f t="shared" si="37"/>
        <v>0</v>
      </c>
      <c r="R753" s="118">
        <v>0</v>
      </c>
      <c r="S753" s="283">
        <v>2016</v>
      </c>
      <c r="T753" s="288">
        <f t="shared" si="35"/>
        <v>99036</v>
      </c>
    </row>
    <row r="754" spans="2:20">
      <c r="B754" s="386" t="s">
        <v>859</v>
      </c>
      <c r="C754" s="114"/>
      <c r="D754" s="111" t="s">
        <v>1547</v>
      </c>
      <c r="E754" s="111" t="s">
        <v>42</v>
      </c>
      <c r="F754" s="111"/>
      <c r="G754" s="110" t="s">
        <v>2073</v>
      </c>
      <c r="H754" s="141">
        <v>10.743213000000001</v>
      </c>
      <c r="I754" s="280"/>
      <c r="J754" s="72">
        <v>148.52000000000001</v>
      </c>
      <c r="K754" s="271">
        <f t="shared" si="36"/>
        <v>1595.5819947600003</v>
      </c>
      <c r="L754" s="111"/>
      <c r="M754" s="73"/>
      <c r="N754" s="112"/>
      <c r="O754" s="111"/>
      <c r="P754" s="312">
        <v>0</v>
      </c>
      <c r="Q754" s="288">
        <f t="shared" si="37"/>
        <v>0</v>
      </c>
      <c r="R754" s="118">
        <v>0</v>
      </c>
      <c r="S754" s="283">
        <v>2016</v>
      </c>
      <c r="T754" s="288">
        <f t="shared" si="35"/>
        <v>1729</v>
      </c>
    </row>
    <row r="755" spans="2:20">
      <c r="B755" s="386" t="s">
        <v>860</v>
      </c>
      <c r="C755" s="114"/>
      <c r="D755" s="111" t="s">
        <v>1547</v>
      </c>
      <c r="E755" s="111" t="s">
        <v>42</v>
      </c>
      <c r="F755" s="111"/>
      <c r="G755" s="110" t="s">
        <v>2073</v>
      </c>
      <c r="H755" s="141">
        <v>150.03002799999999</v>
      </c>
      <c r="I755" s="280"/>
      <c r="J755" s="72">
        <v>148.52000000000001</v>
      </c>
      <c r="K755" s="271">
        <f t="shared" si="36"/>
        <v>22282.459758559999</v>
      </c>
      <c r="L755" s="111"/>
      <c r="M755" s="73"/>
      <c r="N755" s="112"/>
      <c r="O755" s="111"/>
      <c r="P755" s="312">
        <v>0</v>
      </c>
      <c r="Q755" s="288">
        <f t="shared" si="37"/>
        <v>0</v>
      </c>
      <c r="R755" s="118">
        <v>0</v>
      </c>
      <c r="S755" s="283">
        <v>2016</v>
      </c>
      <c r="T755" s="288">
        <f t="shared" si="35"/>
        <v>24145</v>
      </c>
    </row>
    <row r="756" spans="2:20">
      <c r="B756" s="386" t="s">
        <v>861</v>
      </c>
      <c r="C756" s="114"/>
      <c r="D756" s="111" t="s">
        <v>1547</v>
      </c>
      <c r="E756" s="111" t="s">
        <v>42</v>
      </c>
      <c r="F756" s="111"/>
      <c r="G756" s="110" t="s">
        <v>2073</v>
      </c>
      <c r="H756" s="141">
        <v>381.60739799999999</v>
      </c>
      <c r="I756" s="280"/>
      <c r="J756" s="72">
        <v>148.52000000000001</v>
      </c>
      <c r="K756" s="271">
        <f t="shared" si="36"/>
        <v>56676.330750960005</v>
      </c>
      <c r="L756" s="111"/>
      <c r="M756" s="73"/>
      <c r="N756" s="112"/>
      <c r="O756" s="111"/>
      <c r="P756" s="312">
        <v>0</v>
      </c>
      <c r="Q756" s="288">
        <f t="shared" si="37"/>
        <v>0</v>
      </c>
      <c r="R756" s="118">
        <v>0</v>
      </c>
      <c r="S756" s="283">
        <v>2016</v>
      </c>
      <c r="T756" s="288">
        <f t="shared" si="35"/>
        <v>61414</v>
      </c>
    </row>
    <row r="757" spans="2:20">
      <c r="B757" s="386" t="s">
        <v>862</v>
      </c>
      <c r="C757" s="114"/>
      <c r="D757" s="111" t="s">
        <v>1547</v>
      </c>
      <c r="E757" s="111" t="s">
        <v>42</v>
      </c>
      <c r="F757" s="111"/>
      <c r="G757" s="110" t="s">
        <v>2073</v>
      </c>
      <c r="H757" s="141">
        <v>24.513829000000001</v>
      </c>
      <c r="I757" s="280"/>
      <c r="J757" s="72">
        <v>148.52000000000001</v>
      </c>
      <c r="K757" s="271">
        <f t="shared" si="36"/>
        <v>3640.7938830800003</v>
      </c>
      <c r="L757" s="111"/>
      <c r="M757" s="73"/>
      <c r="N757" s="112"/>
      <c r="O757" s="111"/>
      <c r="P757" s="312">
        <v>0</v>
      </c>
      <c r="Q757" s="288">
        <f t="shared" si="37"/>
        <v>0</v>
      </c>
      <c r="R757" s="118">
        <v>0</v>
      </c>
      <c r="S757" s="283">
        <v>2016</v>
      </c>
      <c r="T757" s="288">
        <f t="shared" si="35"/>
        <v>3945</v>
      </c>
    </row>
    <row r="758" spans="2:20">
      <c r="B758" s="386" t="s">
        <v>863</v>
      </c>
      <c r="C758" s="114"/>
      <c r="D758" s="111" t="s">
        <v>1547</v>
      </c>
      <c r="E758" s="111" t="s">
        <v>42</v>
      </c>
      <c r="F758" s="111"/>
      <c r="G758" s="110" t="s">
        <v>2073</v>
      </c>
      <c r="H758" s="141">
        <v>103.60115399999999</v>
      </c>
      <c r="I758" s="280"/>
      <c r="J758" s="72">
        <v>148.52000000000001</v>
      </c>
      <c r="K758" s="271">
        <f t="shared" si="36"/>
        <v>15386.84339208</v>
      </c>
      <c r="L758" s="111"/>
      <c r="M758" s="73"/>
      <c r="N758" s="112"/>
      <c r="O758" s="111"/>
      <c r="P758" s="312">
        <v>0</v>
      </c>
      <c r="Q758" s="288">
        <f t="shared" si="37"/>
        <v>0</v>
      </c>
      <c r="R758" s="118">
        <v>0</v>
      </c>
      <c r="S758" s="283">
        <v>2016</v>
      </c>
      <c r="T758" s="288">
        <f t="shared" si="35"/>
        <v>16673</v>
      </c>
    </row>
    <row r="759" spans="2:20">
      <c r="B759" s="386" t="s">
        <v>864</v>
      </c>
      <c r="C759" s="114"/>
      <c r="D759" s="111" t="s">
        <v>1547</v>
      </c>
      <c r="E759" s="111" t="s">
        <v>42</v>
      </c>
      <c r="F759" s="111"/>
      <c r="G759" s="110" t="s">
        <v>2073</v>
      </c>
      <c r="H759" s="141">
        <v>322.22027100000003</v>
      </c>
      <c r="I759" s="280"/>
      <c r="J759" s="72">
        <v>148.52000000000001</v>
      </c>
      <c r="K759" s="271">
        <f t="shared" si="36"/>
        <v>47856.154648920005</v>
      </c>
      <c r="L759" s="111"/>
      <c r="M759" s="73"/>
      <c r="N759" s="112"/>
      <c r="O759" s="111"/>
      <c r="P759" s="312">
        <v>0</v>
      </c>
      <c r="Q759" s="288">
        <f t="shared" si="37"/>
        <v>0</v>
      </c>
      <c r="R759" s="118">
        <v>0</v>
      </c>
      <c r="S759" s="283">
        <v>2016</v>
      </c>
      <c r="T759" s="288">
        <f t="shared" si="35"/>
        <v>51856</v>
      </c>
    </row>
    <row r="760" spans="2:20">
      <c r="B760" s="386" t="s">
        <v>865</v>
      </c>
      <c r="C760" s="114"/>
      <c r="D760" s="111" t="s">
        <v>1546</v>
      </c>
      <c r="E760" s="111" t="s">
        <v>1794</v>
      </c>
      <c r="F760" s="111"/>
      <c r="G760" s="110" t="s">
        <v>2074</v>
      </c>
      <c r="H760" s="141">
        <v>1200.7014690000001</v>
      </c>
      <c r="I760" s="280"/>
      <c r="J760" s="72">
        <v>148.52000000000001</v>
      </c>
      <c r="K760" s="271">
        <f t="shared" si="36"/>
        <v>178328.18217588004</v>
      </c>
      <c r="L760" s="111"/>
      <c r="M760" s="73"/>
      <c r="N760" s="112"/>
      <c r="O760" s="111"/>
      <c r="P760" s="312">
        <v>57.993562500000003</v>
      </c>
      <c r="Q760" s="288">
        <f t="shared" si="37"/>
        <v>15.000000008621647</v>
      </c>
      <c r="R760" s="118">
        <v>869.90343800000005</v>
      </c>
      <c r="S760" s="283">
        <v>2016</v>
      </c>
      <c r="T760" s="288">
        <f t="shared" si="35"/>
        <v>194179</v>
      </c>
    </row>
    <row r="761" spans="2:20">
      <c r="B761" s="386" t="s">
        <v>866</v>
      </c>
      <c r="C761" s="114"/>
      <c r="D761" s="111" t="s">
        <v>1546</v>
      </c>
      <c r="E761" s="111" t="s">
        <v>1794</v>
      </c>
      <c r="F761" s="111"/>
      <c r="G761" s="110" t="s">
        <v>2074</v>
      </c>
      <c r="H761" s="141">
        <v>5017.4756850000003</v>
      </c>
      <c r="I761" s="280"/>
      <c r="J761" s="72">
        <v>148.52000000000001</v>
      </c>
      <c r="K761" s="271">
        <f t="shared" si="36"/>
        <v>745195.48873620015</v>
      </c>
      <c r="L761" s="111"/>
      <c r="M761" s="73"/>
      <c r="N761" s="112"/>
      <c r="O761" s="111"/>
      <c r="P761" s="312">
        <v>0</v>
      </c>
      <c r="Q761" s="288">
        <f t="shared" si="37"/>
        <v>0</v>
      </c>
      <c r="R761" s="118">
        <v>0</v>
      </c>
      <c r="S761" s="283">
        <v>2016</v>
      </c>
      <c r="T761" s="288">
        <f t="shared" si="35"/>
        <v>807486</v>
      </c>
    </row>
    <row r="762" spans="2:20">
      <c r="B762" s="386" t="s">
        <v>867</v>
      </c>
      <c r="C762" s="114"/>
      <c r="D762" s="111" t="s">
        <v>1547</v>
      </c>
      <c r="E762" s="111" t="s">
        <v>1794</v>
      </c>
      <c r="F762" s="111"/>
      <c r="G762" s="110" t="s">
        <v>2074</v>
      </c>
      <c r="H762" s="141">
        <v>745.54841999999996</v>
      </c>
      <c r="I762" s="280"/>
      <c r="J762" s="72">
        <v>148.52000000000001</v>
      </c>
      <c r="K762" s="271">
        <f t="shared" si="36"/>
        <v>110728.8513384</v>
      </c>
      <c r="L762" s="111"/>
      <c r="M762" s="73"/>
      <c r="N762" s="112"/>
      <c r="O762" s="111"/>
      <c r="P762" s="312">
        <v>51.8734477</v>
      </c>
      <c r="Q762" s="288">
        <f t="shared" si="37"/>
        <v>1</v>
      </c>
      <c r="R762" s="118">
        <v>51.8734477</v>
      </c>
      <c r="S762" s="283">
        <v>2016</v>
      </c>
      <c r="T762" s="288">
        <f t="shared" si="35"/>
        <v>120041</v>
      </c>
    </row>
    <row r="763" spans="2:20">
      <c r="B763" s="386" t="s">
        <v>868</v>
      </c>
      <c r="C763" s="114"/>
      <c r="D763" s="111" t="s">
        <v>1547</v>
      </c>
      <c r="E763" s="111" t="s">
        <v>1795</v>
      </c>
      <c r="F763" s="111"/>
      <c r="G763" s="110" t="s">
        <v>2073</v>
      </c>
      <c r="H763" s="141">
        <v>97.836228000000006</v>
      </c>
      <c r="I763" s="280"/>
      <c r="J763" s="72">
        <v>148.52000000000001</v>
      </c>
      <c r="K763" s="271">
        <f t="shared" si="36"/>
        <v>14530.636582560002</v>
      </c>
      <c r="L763" s="111"/>
      <c r="M763" s="73"/>
      <c r="N763" s="112"/>
      <c r="O763" s="111"/>
      <c r="P763" s="312">
        <v>1211.6708000000001</v>
      </c>
      <c r="Q763" s="288">
        <f t="shared" si="37"/>
        <v>26.181954702547916</v>
      </c>
      <c r="R763" s="118">
        <v>31723.91</v>
      </c>
      <c r="S763" s="283">
        <v>2016</v>
      </c>
      <c r="T763" s="288">
        <f t="shared" si="35"/>
        <v>50177</v>
      </c>
    </row>
    <row r="764" spans="2:20">
      <c r="B764" s="386" t="s">
        <v>869</v>
      </c>
      <c r="C764" s="114"/>
      <c r="D764" s="111" t="s">
        <v>1547</v>
      </c>
      <c r="E764" s="111" t="s">
        <v>1795</v>
      </c>
      <c r="F764" s="111"/>
      <c r="G764" s="110" t="s">
        <v>2073</v>
      </c>
      <c r="H764" s="141">
        <v>89.431100999999998</v>
      </c>
      <c r="I764" s="280"/>
      <c r="J764" s="72">
        <v>148.52000000000001</v>
      </c>
      <c r="K764" s="271">
        <f t="shared" si="36"/>
        <v>13282.307120520001</v>
      </c>
      <c r="L764" s="111"/>
      <c r="M764" s="73"/>
      <c r="N764" s="112"/>
      <c r="O764" s="111"/>
      <c r="P764" s="312">
        <v>0</v>
      </c>
      <c r="Q764" s="288">
        <f t="shared" si="37"/>
        <v>0</v>
      </c>
      <c r="R764" s="118">
        <v>0</v>
      </c>
      <c r="S764" s="283">
        <v>2016</v>
      </c>
      <c r="T764" s="288">
        <f t="shared" si="35"/>
        <v>14393</v>
      </c>
    </row>
    <row r="765" spans="2:20">
      <c r="B765" s="386" t="s">
        <v>870</v>
      </c>
      <c r="C765" s="114"/>
      <c r="D765" s="111" t="s">
        <v>1547</v>
      </c>
      <c r="E765" s="111" t="s">
        <v>1795</v>
      </c>
      <c r="F765" s="111"/>
      <c r="G765" s="110" t="s">
        <v>2073</v>
      </c>
      <c r="H765" s="141">
        <v>461.34802400000001</v>
      </c>
      <c r="I765" s="280"/>
      <c r="J765" s="72">
        <v>148.52000000000001</v>
      </c>
      <c r="K765" s="271">
        <f t="shared" si="36"/>
        <v>68519.408524480008</v>
      </c>
      <c r="L765" s="111"/>
      <c r="M765" s="73"/>
      <c r="N765" s="112"/>
      <c r="O765" s="111"/>
      <c r="P765" s="312">
        <v>0</v>
      </c>
      <c r="Q765" s="288">
        <f t="shared" si="37"/>
        <v>0</v>
      </c>
      <c r="R765" s="118">
        <v>0</v>
      </c>
      <c r="S765" s="283">
        <v>2016</v>
      </c>
      <c r="T765" s="288">
        <f t="shared" si="35"/>
        <v>74247</v>
      </c>
    </row>
    <row r="766" spans="2:20">
      <c r="B766" s="386" t="s">
        <v>871</v>
      </c>
      <c r="C766" s="114"/>
      <c r="D766" s="111" t="s">
        <v>1547</v>
      </c>
      <c r="E766" s="111" t="s">
        <v>1795</v>
      </c>
      <c r="F766" s="111"/>
      <c r="G766" s="110" t="s">
        <v>2073</v>
      </c>
      <c r="H766" s="141">
        <v>113.728647</v>
      </c>
      <c r="I766" s="280"/>
      <c r="J766" s="72">
        <v>148.52000000000001</v>
      </c>
      <c r="K766" s="271">
        <f t="shared" si="36"/>
        <v>16890.978652440001</v>
      </c>
      <c r="L766" s="111"/>
      <c r="M766" s="73"/>
      <c r="N766" s="112"/>
      <c r="O766" s="111"/>
      <c r="P766" s="312">
        <v>0</v>
      </c>
      <c r="Q766" s="288">
        <f t="shared" si="37"/>
        <v>0</v>
      </c>
      <c r="R766" s="118">
        <v>0</v>
      </c>
      <c r="S766" s="283">
        <v>2016</v>
      </c>
      <c r="T766" s="288">
        <f t="shared" si="35"/>
        <v>18303</v>
      </c>
    </row>
    <row r="767" spans="2:20">
      <c r="B767" s="386" t="s">
        <v>872</v>
      </c>
      <c r="C767" s="114"/>
      <c r="D767" s="111" t="s">
        <v>1547</v>
      </c>
      <c r="E767" s="111" t="s">
        <v>1795</v>
      </c>
      <c r="F767" s="111"/>
      <c r="G767" s="110" t="s">
        <v>2073</v>
      </c>
      <c r="H767" s="141">
        <v>417.661295</v>
      </c>
      <c r="I767" s="280"/>
      <c r="J767" s="72">
        <v>148.52000000000001</v>
      </c>
      <c r="K767" s="271">
        <f t="shared" si="36"/>
        <v>62031.055533400002</v>
      </c>
      <c r="L767" s="111"/>
      <c r="M767" s="73"/>
      <c r="N767" s="112"/>
      <c r="O767" s="111"/>
      <c r="P767" s="312">
        <v>0</v>
      </c>
      <c r="Q767" s="288">
        <f t="shared" si="37"/>
        <v>0</v>
      </c>
      <c r="R767" s="118">
        <v>0</v>
      </c>
      <c r="S767" s="283">
        <v>2016</v>
      </c>
      <c r="T767" s="288">
        <f t="shared" si="35"/>
        <v>67216</v>
      </c>
    </row>
    <row r="768" spans="2:20">
      <c r="B768" s="386" t="s">
        <v>873</v>
      </c>
      <c r="C768" s="114"/>
      <c r="D768" s="111" t="s">
        <v>1547</v>
      </c>
      <c r="E768" s="111" t="s">
        <v>1796</v>
      </c>
      <c r="F768" s="111"/>
      <c r="G768" s="110" t="s">
        <v>2073</v>
      </c>
      <c r="H768" s="141">
        <v>159.050062</v>
      </c>
      <c r="I768" s="280"/>
      <c r="J768" s="72">
        <v>148.52000000000001</v>
      </c>
      <c r="K768" s="271">
        <f t="shared" si="36"/>
        <v>23622.11520824</v>
      </c>
      <c r="L768" s="111"/>
      <c r="M768" s="73"/>
      <c r="N768" s="112"/>
      <c r="O768" s="111"/>
      <c r="P768" s="312">
        <v>0</v>
      </c>
      <c r="Q768" s="288">
        <f t="shared" si="37"/>
        <v>0</v>
      </c>
      <c r="R768" s="118">
        <v>0</v>
      </c>
      <c r="S768" s="283">
        <v>2016</v>
      </c>
      <c r="T768" s="288">
        <f t="shared" si="35"/>
        <v>25597</v>
      </c>
    </row>
    <row r="769" spans="2:20">
      <c r="B769" s="386" t="s">
        <v>874</v>
      </c>
      <c r="C769" s="114"/>
      <c r="D769" s="111" t="s">
        <v>1547</v>
      </c>
      <c r="E769" s="111" t="s">
        <v>1797</v>
      </c>
      <c r="F769" s="111"/>
      <c r="G769" s="110" t="s">
        <v>2073</v>
      </c>
      <c r="H769" s="141">
        <v>580.08335999999997</v>
      </c>
      <c r="I769" s="280"/>
      <c r="J769" s="72">
        <v>148.52000000000001</v>
      </c>
      <c r="K769" s="271">
        <f t="shared" si="36"/>
        <v>86153.980627199999</v>
      </c>
      <c r="L769" s="111"/>
      <c r="M769" s="73"/>
      <c r="N769" s="112"/>
      <c r="O769" s="111"/>
      <c r="P769" s="312">
        <v>0</v>
      </c>
      <c r="Q769" s="288">
        <f t="shared" si="37"/>
        <v>0</v>
      </c>
      <c r="R769" s="118">
        <v>0</v>
      </c>
      <c r="S769" s="283">
        <v>2016</v>
      </c>
      <c r="T769" s="288">
        <f t="shared" si="35"/>
        <v>93356</v>
      </c>
    </row>
    <row r="770" spans="2:20">
      <c r="B770" s="386" t="s">
        <v>875</v>
      </c>
      <c r="C770" s="114"/>
      <c r="D770" s="111" t="s">
        <v>1547</v>
      </c>
      <c r="E770" s="111" t="s">
        <v>1797</v>
      </c>
      <c r="F770" s="111"/>
      <c r="G770" s="110" t="s">
        <v>2073</v>
      </c>
      <c r="H770" s="141">
        <v>228.36544499999999</v>
      </c>
      <c r="I770" s="280"/>
      <c r="J770" s="72">
        <v>148.52000000000001</v>
      </c>
      <c r="K770" s="271">
        <f t="shared" si="36"/>
        <v>33916.835891399998</v>
      </c>
      <c r="L770" s="111"/>
      <c r="M770" s="73"/>
      <c r="N770" s="112"/>
      <c r="O770" s="111"/>
      <c r="P770" s="312">
        <v>0</v>
      </c>
      <c r="Q770" s="288">
        <f t="shared" si="37"/>
        <v>0</v>
      </c>
      <c r="R770" s="118">
        <v>0</v>
      </c>
      <c r="S770" s="283">
        <v>2016</v>
      </c>
      <c r="T770" s="288">
        <f t="shared" si="35"/>
        <v>36752</v>
      </c>
    </row>
    <row r="771" spans="2:20">
      <c r="B771" s="386" t="s">
        <v>876</v>
      </c>
      <c r="C771" s="114"/>
      <c r="D771" s="111" t="s">
        <v>1547</v>
      </c>
      <c r="E771" s="111" t="s">
        <v>1797</v>
      </c>
      <c r="F771" s="111"/>
      <c r="G771" s="110" t="s">
        <v>2073</v>
      </c>
      <c r="H771" s="141">
        <v>364.03636599999999</v>
      </c>
      <c r="I771" s="280"/>
      <c r="J771" s="72">
        <v>148.52000000000001</v>
      </c>
      <c r="K771" s="271">
        <f t="shared" si="36"/>
        <v>54066.681078320005</v>
      </c>
      <c r="L771" s="111"/>
      <c r="M771" s="73"/>
      <c r="N771" s="112"/>
      <c r="O771" s="111"/>
      <c r="P771" s="312">
        <v>0</v>
      </c>
      <c r="Q771" s="288">
        <f t="shared" si="37"/>
        <v>0</v>
      </c>
      <c r="R771" s="118">
        <v>0</v>
      </c>
      <c r="S771" s="283">
        <v>2016</v>
      </c>
      <c r="T771" s="288">
        <f t="shared" si="35"/>
        <v>58586</v>
      </c>
    </row>
    <row r="772" spans="2:20">
      <c r="B772" s="386" t="s">
        <v>877</v>
      </c>
      <c r="C772" s="114"/>
      <c r="D772" s="111" t="s">
        <v>1547</v>
      </c>
      <c r="E772" s="111" t="s">
        <v>1798</v>
      </c>
      <c r="F772" s="111"/>
      <c r="G772" s="110" t="s">
        <v>2073</v>
      </c>
      <c r="H772" s="141">
        <v>26.405688000000001</v>
      </c>
      <c r="I772" s="280"/>
      <c r="J772" s="72">
        <v>148.52000000000001</v>
      </c>
      <c r="K772" s="271">
        <f t="shared" si="36"/>
        <v>3921.7727817600003</v>
      </c>
      <c r="L772" s="111"/>
      <c r="M772" s="73"/>
      <c r="N772" s="112"/>
      <c r="O772" s="111"/>
      <c r="P772" s="312">
        <v>0</v>
      </c>
      <c r="Q772" s="288">
        <f t="shared" si="37"/>
        <v>0</v>
      </c>
      <c r="R772" s="118">
        <v>0</v>
      </c>
      <c r="S772" s="283">
        <v>2016</v>
      </c>
      <c r="T772" s="288">
        <f t="shared" si="35"/>
        <v>4250</v>
      </c>
    </row>
    <row r="773" spans="2:20">
      <c r="B773" s="386" t="s">
        <v>878</v>
      </c>
      <c r="C773" s="114"/>
      <c r="D773" s="111" t="s">
        <v>1547</v>
      </c>
      <c r="E773" s="111" t="s">
        <v>1798</v>
      </c>
      <c r="F773" s="111"/>
      <c r="G773" s="110" t="s">
        <v>2073</v>
      </c>
      <c r="H773" s="141">
        <v>359.41665699999999</v>
      </c>
      <c r="I773" s="280"/>
      <c r="J773" s="72">
        <v>148.52000000000001</v>
      </c>
      <c r="K773" s="271">
        <f t="shared" si="36"/>
        <v>53380.56189764</v>
      </c>
      <c r="L773" s="111"/>
      <c r="M773" s="73"/>
      <c r="N773" s="112"/>
      <c r="O773" s="111"/>
      <c r="P773" s="312">
        <v>0</v>
      </c>
      <c r="Q773" s="288">
        <f t="shared" si="37"/>
        <v>0</v>
      </c>
      <c r="R773" s="118">
        <v>0</v>
      </c>
      <c r="S773" s="283">
        <v>2016</v>
      </c>
      <c r="T773" s="288">
        <f t="shared" si="35"/>
        <v>57843</v>
      </c>
    </row>
    <row r="774" spans="2:20">
      <c r="B774" s="386" t="s">
        <v>879</v>
      </c>
      <c r="C774" s="114"/>
      <c r="D774" s="111" t="s">
        <v>1546</v>
      </c>
      <c r="E774" s="111" t="s">
        <v>1799</v>
      </c>
      <c r="F774" s="111"/>
      <c r="G774" s="110" t="s">
        <v>2074</v>
      </c>
      <c r="H774" s="141">
        <v>846.39696300000003</v>
      </c>
      <c r="I774" s="280"/>
      <c r="J774" s="72">
        <v>148.52000000000001</v>
      </c>
      <c r="K774" s="271">
        <f t="shared" si="36"/>
        <v>125706.87694476001</v>
      </c>
      <c r="L774" s="111"/>
      <c r="M774" s="73"/>
      <c r="N774" s="112"/>
      <c r="O774" s="111"/>
      <c r="P774" s="312">
        <v>0</v>
      </c>
      <c r="Q774" s="288">
        <f t="shared" si="37"/>
        <v>0</v>
      </c>
      <c r="R774" s="118">
        <v>0</v>
      </c>
      <c r="S774" s="283">
        <v>2016</v>
      </c>
      <c r="T774" s="288">
        <f t="shared" si="35"/>
        <v>136215</v>
      </c>
    </row>
    <row r="775" spans="2:20">
      <c r="B775" s="386" t="s">
        <v>880</v>
      </c>
      <c r="C775" s="114"/>
      <c r="D775" s="111" t="s">
        <v>1546</v>
      </c>
      <c r="E775" s="111" t="s">
        <v>1799</v>
      </c>
      <c r="F775" s="111"/>
      <c r="G775" s="110" t="s">
        <v>2073</v>
      </c>
      <c r="H775" s="141">
        <v>68.403689</v>
      </c>
      <c r="I775" s="280"/>
      <c r="J775" s="72">
        <v>148.52000000000001</v>
      </c>
      <c r="K775" s="271">
        <f t="shared" si="36"/>
        <v>10159.315890280001</v>
      </c>
      <c r="L775" s="111"/>
      <c r="M775" s="73"/>
      <c r="N775" s="112"/>
      <c r="O775" s="111"/>
      <c r="P775" s="312">
        <v>0</v>
      </c>
      <c r="Q775" s="288">
        <f t="shared" si="37"/>
        <v>0</v>
      </c>
      <c r="R775" s="118">
        <v>0</v>
      </c>
      <c r="S775" s="283">
        <v>2016</v>
      </c>
      <c r="T775" s="288">
        <f t="shared" si="35"/>
        <v>11009</v>
      </c>
    </row>
    <row r="776" spans="2:20">
      <c r="B776" s="386" t="s">
        <v>881</v>
      </c>
      <c r="C776" s="114"/>
      <c r="D776" s="111" t="s">
        <v>1546</v>
      </c>
      <c r="E776" s="111" t="s">
        <v>1799</v>
      </c>
      <c r="F776" s="111"/>
      <c r="G776" s="110" t="s">
        <v>2074</v>
      </c>
      <c r="H776" s="141">
        <v>334.78030100000001</v>
      </c>
      <c r="I776" s="280"/>
      <c r="J776" s="72">
        <v>148.52000000000001</v>
      </c>
      <c r="K776" s="271">
        <f t="shared" si="36"/>
        <v>49721.570304520006</v>
      </c>
      <c r="L776" s="111"/>
      <c r="M776" s="73"/>
      <c r="N776" s="112"/>
      <c r="O776" s="111"/>
      <c r="P776" s="312">
        <v>0</v>
      </c>
      <c r="Q776" s="288">
        <f t="shared" si="37"/>
        <v>0</v>
      </c>
      <c r="R776" s="118">
        <v>0</v>
      </c>
      <c r="S776" s="283">
        <v>2016</v>
      </c>
      <c r="T776" s="288">
        <f t="shared" si="35"/>
        <v>53878</v>
      </c>
    </row>
    <row r="777" spans="2:20">
      <c r="B777" s="386" t="s">
        <v>882</v>
      </c>
      <c r="C777" s="114"/>
      <c r="D777" s="111" t="s">
        <v>1546</v>
      </c>
      <c r="E777" s="111" t="s">
        <v>1799</v>
      </c>
      <c r="F777" s="111"/>
      <c r="G777" s="110" t="s">
        <v>2073</v>
      </c>
      <c r="H777" s="141">
        <v>72.356297999999995</v>
      </c>
      <c r="I777" s="280"/>
      <c r="J777" s="72">
        <v>148.52000000000001</v>
      </c>
      <c r="K777" s="271">
        <f t="shared" si="36"/>
        <v>10746.35737896</v>
      </c>
      <c r="L777" s="111"/>
      <c r="M777" s="73"/>
      <c r="N777" s="112"/>
      <c r="O777" s="111"/>
      <c r="P777" s="312">
        <v>0</v>
      </c>
      <c r="Q777" s="288">
        <f t="shared" si="37"/>
        <v>0</v>
      </c>
      <c r="R777" s="118">
        <v>0</v>
      </c>
      <c r="S777" s="283">
        <v>2016</v>
      </c>
      <c r="T777" s="288">
        <f t="shared" si="35"/>
        <v>11645</v>
      </c>
    </row>
    <row r="778" spans="2:20">
      <c r="B778" s="386" t="s">
        <v>883</v>
      </c>
      <c r="C778" s="114"/>
      <c r="D778" s="111" t="s">
        <v>1546</v>
      </c>
      <c r="E778" s="111" t="s">
        <v>1652</v>
      </c>
      <c r="F778" s="111"/>
      <c r="G778" s="110" t="s">
        <v>2073</v>
      </c>
      <c r="H778" s="141">
        <v>199.84155000000001</v>
      </c>
      <c r="I778" s="280"/>
      <c r="J778" s="72">
        <v>148.52000000000001</v>
      </c>
      <c r="K778" s="271">
        <f t="shared" si="36"/>
        <v>29680.467006000003</v>
      </c>
      <c r="L778" s="111"/>
      <c r="M778" s="73"/>
      <c r="N778" s="112"/>
      <c r="O778" s="111"/>
      <c r="P778" s="312">
        <v>0</v>
      </c>
      <c r="Q778" s="288">
        <f t="shared" si="37"/>
        <v>0</v>
      </c>
      <c r="R778" s="118">
        <v>0</v>
      </c>
      <c r="S778" s="283">
        <v>2016</v>
      </c>
      <c r="T778" s="288">
        <f t="shared" si="35"/>
        <v>32161</v>
      </c>
    </row>
    <row r="779" spans="2:20">
      <c r="B779" s="386" t="s">
        <v>884</v>
      </c>
      <c r="C779" s="114"/>
      <c r="D779" s="111" t="s">
        <v>1546</v>
      </c>
      <c r="E779" s="111" t="s">
        <v>1652</v>
      </c>
      <c r="F779" s="111"/>
      <c r="G779" s="110" t="s">
        <v>2073</v>
      </c>
      <c r="H779" s="141">
        <v>2009.0556570000001</v>
      </c>
      <c r="I779" s="280"/>
      <c r="J779" s="72">
        <v>148.52000000000001</v>
      </c>
      <c r="K779" s="271">
        <f t="shared" si="36"/>
        <v>298384.94617764006</v>
      </c>
      <c r="L779" s="111"/>
      <c r="M779" s="73"/>
      <c r="N779" s="112"/>
      <c r="O779" s="111"/>
      <c r="P779" s="312">
        <v>0</v>
      </c>
      <c r="Q779" s="288">
        <f t="shared" si="37"/>
        <v>0</v>
      </c>
      <c r="R779" s="118">
        <v>0</v>
      </c>
      <c r="S779" s="283">
        <v>2016</v>
      </c>
      <c r="T779" s="288">
        <f t="shared" si="35"/>
        <v>323327</v>
      </c>
    </row>
    <row r="780" spans="2:20">
      <c r="B780" s="386" t="s">
        <v>885</v>
      </c>
      <c r="C780" s="114"/>
      <c r="D780" s="111" t="s">
        <v>1546</v>
      </c>
      <c r="E780" s="111" t="s">
        <v>1800</v>
      </c>
      <c r="F780" s="111"/>
      <c r="G780" s="110" t="s">
        <v>2074</v>
      </c>
      <c r="H780" s="141">
        <v>625.85794799999996</v>
      </c>
      <c r="I780" s="280"/>
      <c r="J780" s="72">
        <v>148.52000000000001</v>
      </c>
      <c r="K780" s="271">
        <f t="shared" si="36"/>
        <v>92952.422436959998</v>
      </c>
      <c r="L780" s="111"/>
      <c r="M780" s="73"/>
      <c r="N780" s="112"/>
      <c r="O780" s="111"/>
      <c r="P780" s="312">
        <v>0</v>
      </c>
      <c r="Q780" s="288">
        <f t="shared" si="37"/>
        <v>0</v>
      </c>
      <c r="R780" s="118">
        <v>0</v>
      </c>
      <c r="S780" s="283">
        <v>2016</v>
      </c>
      <c r="T780" s="288">
        <f t="shared" si="35"/>
        <v>100722</v>
      </c>
    </row>
    <row r="781" spans="2:20">
      <c r="B781" s="386" t="s">
        <v>886</v>
      </c>
      <c r="C781" s="114"/>
      <c r="D781" s="111" t="s">
        <v>1546</v>
      </c>
      <c r="E781" s="111" t="s">
        <v>1800</v>
      </c>
      <c r="F781" s="111"/>
      <c r="G781" s="110" t="s">
        <v>2073</v>
      </c>
      <c r="H781" s="141">
        <v>661.53176199999996</v>
      </c>
      <c r="I781" s="280"/>
      <c r="J781" s="72">
        <v>148.52000000000001</v>
      </c>
      <c r="K781" s="271">
        <f t="shared" si="36"/>
        <v>98250.697292240002</v>
      </c>
      <c r="L781" s="111"/>
      <c r="M781" s="73"/>
      <c r="N781" s="112"/>
      <c r="O781" s="111"/>
      <c r="P781" s="312">
        <v>0</v>
      </c>
      <c r="Q781" s="288">
        <f t="shared" si="37"/>
        <v>0</v>
      </c>
      <c r="R781" s="118">
        <v>0</v>
      </c>
      <c r="S781" s="283">
        <v>2016</v>
      </c>
      <c r="T781" s="288">
        <f t="shared" ref="T781:T844" si="38">IFERROR(ROUND((K781*(1+PPI_Existing)^(YEAR-S781))+(R781*((1+LandInd_Existing)^(YEAR-S781))),0),0)</f>
        <v>106463</v>
      </c>
    </row>
    <row r="782" spans="2:20">
      <c r="B782" s="386" t="s">
        <v>887</v>
      </c>
      <c r="C782" s="114"/>
      <c r="D782" s="111" t="s">
        <v>1546</v>
      </c>
      <c r="E782" s="111" t="s">
        <v>1800</v>
      </c>
      <c r="F782" s="111"/>
      <c r="G782" s="110" t="s">
        <v>2073</v>
      </c>
      <c r="H782" s="141">
        <v>218.77828</v>
      </c>
      <c r="I782" s="280"/>
      <c r="J782" s="72">
        <v>148.52000000000001</v>
      </c>
      <c r="K782" s="271">
        <f t="shared" si="36"/>
        <v>32492.9501456</v>
      </c>
      <c r="L782" s="111"/>
      <c r="M782" s="73"/>
      <c r="N782" s="112"/>
      <c r="O782" s="111"/>
      <c r="P782" s="312">
        <v>0</v>
      </c>
      <c r="Q782" s="288">
        <f t="shared" si="37"/>
        <v>0</v>
      </c>
      <c r="R782" s="118">
        <v>0</v>
      </c>
      <c r="S782" s="283">
        <v>2016</v>
      </c>
      <c r="T782" s="288">
        <f t="shared" si="38"/>
        <v>35209</v>
      </c>
    </row>
    <row r="783" spans="2:20">
      <c r="B783" s="386" t="s">
        <v>888</v>
      </c>
      <c r="C783" s="114"/>
      <c r="D783" s="111" t="s">
        <v>1546</v>
      </c>
      <c r="E783" s="111" t="s">
        <v>1800</v>
      </c>
      <c r="F783" s="111"/>
      <c r="G783" s="110" t="s">
        <v>2073</v>
      </c>
      <c r="H783" s="141">
        <v>184.86556200000001</v>
      </c>
      <c r="I783" s="280"/>
      <c r="J783" s="72">
        <v>148.52000000000001</v>
      </c>
      <c r="K783" s="271">
        <f t="shared" si="36"/>
        <v>27456.233268240005</v>
      </c>
      <c r="L783" s="111"/>
      <c r="M783" s="73"/>
      <c r="N783" s="112"/>
      <c r="O783" s="111"/>
      <c r="P783" s="312">
        <v>0</v>
      </c>
      <c r="Q783" s="288">
        <f t="shared" si="37"/>
        <v>0</v>
      </c>
      <c r="R783" s="118">
        <v>0</v>
      </c>
      <c r="S783" s="283">
        <v>2016</v>
      </c>
      <c r="T783" s="288">
        <f t="shared" si="38"/>
        <v>29751</v>
      </c>
    </row>
    <row r="784" spans="2:20">
      <c r="B784" s="386" t="s">
        <v>889</v>
      </c>
      <c r="C784" s="114"/>
      <c r="D784" s="111" t="s">
        <v>1546</v>
      </c>
      <c r="E784" s="111" t="s">
        <v>1800</v>
      </c>
      <c r="F784" s="111"/>
      <c r="G784" s="110" t="s">
        <v>2073</v>
      </c>
      <c r="H784" s="141">
        <v>410.07067599999999</v>
      </c>
      <c r="I784" s="280"/>
      <c r="J784" s="72">
        <v>148.52000000000001</v>
      </c>
      <c r="K784" s="271">
        <f t="shared" si="36"/>
        <v>60903.696799520003</v>
      </c>
      <c r="L784" s="111"/>
      <c r="M784" s="73"/>
      <c r="N784" s="112"/>
      <c r="O784" s="111"/>
      <c r="P784" s="312">
        <v>0</v>
      </c>
      <c r="Q784" s="288">
        <f t="shared" si="37"/>
        <v>0</v>
      </c>
      <c r="R784" s="118">
        <v>0</v>
      </c>
      <c r="S784" s="283">
        <v>2016</v>
      </c>
      <c r="T784" s="288">
        <f t="shared" si="38"/>
        <v>65995</v>
      </c>
    </row>
    <row r="785" spans="2:20">
      <c r="B785" s="386" t="s">
        <v>890</v>
      </c>
      <c r="C785" s="114"/>
      <c r="D785" s="111" t="s">
        <v>1546</v>
      </c>
      <c r="E785" s="111" t="s">
        <v>1801</v>
      </c>
      <c r="F785" s="111"/>
      <c r="G785" s="110" t="s">
        <v>2073</v>
      </c>
      <c r="H785" s="141">
        <v>62.943654000000002</v>
      </c>
      <c r="I785" s="280"/>
      <c r="J785" s="72">
        <v>148.52000000000001</v>
      </c>
      <c r="K785" s="271">
        <f t="shared" si="36"/>
        <v>9348.3914920800016</v>
      </c>
      <c r="L785" s="111"/>
      <c r="M785" s="73"/>
      <c r="N785" s="112"/>
      <c r="O785" s="111"/>
      <c r="P785" s="312">
        <v>0</v>
      </c>
      <c r="Q785" s="288">
        <f t="shared" si="37"/>
        <v>0</v>
      </c>
      <c r="R785" s="118">
        <v>0</v>
      </c>
      <c r="S785" s="283">
        <v>2016</v>
      </c>
      <c r="T785" s="288">
        <f t="shared" si="38"/>
        <v>10130</v>
      </c>
    </row>
    <row r="786" spans="2:20">
      <c r="B786" s="386" t="s">
        <v>891</v>
      </c>
      <c r="C786" s="114"/>
      <c r="D786" s="111" t="s">
        <v>1547</v>
      </c>
      <c r="E786" s="111" t="s">
        <v>1802</v>
      </c>
      <c r="F786" s="111"/>
      <c r="G786" s="110" t="s">
        <v>2073</v>
      </c>
      <c r="H786" s="141">
        <v>207.966872</v>
      </c>
      <c r="I786" s="280"/>
      <c r="J786" s="72">
        <v>148.52000000000001</v>
      </c>
      <c r="K786" s="271">
        <f t="shared" si="36"/>
        <v>30887.239829440001</v>
      </c>
      <c r="L786" s="111"/>
      <c r="M786" s="73"/>
      <c r="N786" s="112"/>
      <c r="O786" s="111"/>
      <c r="P786" s="312">
        <v>0</v>
      </c>
      <c r="Q786" s="288">
        <f t="shared" si="37"/>
        <v>0</v>
      </c>
      <c r="R786" s="118">
        <v>0</v>
      </c>
      <c r="S786" s="283">
        <v>2016</v>
      </c>
      <c r="T786" s="288">
        <f t="shared" si="38"/>
        <v>33469</v>
      </c>
    </row>
    <row r="787" spans="2:20">
      <c r="B787" s="386" t="s">
        <v>892</v>
      </c>
      <c r="C787" s="114"/>
      <c r="D787" s="111" t="s">
        <v>1547</v>
      </c>
      <c r="E787" s="111" t="s">
        <v>1802</v>
      </c>
      <c r="F787" s="111"/>
      <c r="G787" s="110" t="s">
        <v>2073</v>
      </c>
      <c r="H787" s="141">
        <v>410.55278900000002</v>
      </c>
      <c r="I787" s="280"/>
      <c r="J787" s="72">
        <v>148.52000000000001</v>
      </c>
      <c r="K787" s="271">
        <f t="shared" si="36"/>
        <v>60975.300222280006</v>
      </c>
      <c r="L787" s="111"/>
      <c r="M787" s="73"/>
      <c r="N787" s="112"/>
      <c r="O787" s="111"/>
      <c r="P787" s="312">
        <v>0</v>
      </c>
      <c r="Q787" s="288">
        <f t="shared" si="37"/>
        <v>0</v>
      </c>
      <c r="R787" s="118">
        <v>0</v>
      </c>
      <c r="S787" s="283">
        <v>2016</v>
      </c>
      <c r="T787" s="288">
        <f t="shared" si="38"/>
        <v>66072</v>
      </c>
    </row>
    <row r="788" spans="2:20">
      <c r="B788" s="386" t="s">
        <v>893</v>
      </c>
      <c r="C788" s="114"/>
      <c r="D788" s="111" t="s">
        <v>1547</v>
      </c>
      <c r="E788" s="111" t="s">
        <v>1803</v>
      </c>
      <c r="F788" s="111"/>
      <c r="G788" s="110" t="s">
        <v>2073</v>
      </c>
      <c r="H788" s="141">
        <v>549.09909100000004</v>
      </c>
      <c r="I788" s="280"/>
      <c r="J788" s="72">
        <v>148.52000000000001</v>
      </c>
      <c r="K788" s="271">
        <f t="shared" si="36"/>
        <v>81552.196995320017</v>
      </c>
      <c r="L788" s="111"/>
      <c r="M788" s="73"/>
      <c r="N788" s="112"/>
      <c r="O788" s="111"/>
      <c r="P788" s="312">
        <v>0</v>
      </c>
      <c r="Q788" s="288">
        <f t="shared" si="37"/>
        <v>0</v>
      </c>
      <c r="R788" s="118">
        <v>0</v>
      </c>
      <c r="S788" s="283">
        <v>2016</v>
      </c>
      <c r="T788" s="288">
        <f t="shared" si="38"/>
        <v>88369</v>
      </c>
    </row>
    <row r="789" spans="2:20">
      <c r="B789" s="386" t="s">
        <v>894</v>
      </c>
      <c r="C789" s="114"/>
      <c r="D789" s="111" t="s">
        <v>1546</v>
      </c>
      <c r="E789" s="111" t="s">
        <v>1804</v>
      </c>
      <c r="F789" s="111"/>
      <c r="G789" s="110" t="s">
        <v>2073</v>
      </c>
      <c r="H789" s="141">
        <v>201.50188900000001</v>
      </c>
      <c r="I789" s="280"/>
      <c r="J789" s="72">
        <v>148.52000000000001</v>
      </c>
      <c r="K789" s="271">
        <f t="shared" si="36"/>
        <v>29927.060554280004</v>
      </c>
      <c r="L789" s="111"/>
      <c r="M789" s="73"/>
      <c r="N789" s="112"/>
      <c r="O789" s="111"/>
      <c r="P789" s="312">
        <v>0</v>
      </c>
      <c r="Q789" s="288">
        <f t="shared" si="37"/>
        <v>0</v>
      </c>
      <c r="R789" s="118">
        <v>0</v>
      </c>
      <c r="S789" s="283">
        <v>2016</v>
      </c>
      <c r="T789" s="288">
        <f t="shared" si="38"/>
        <v>32429</v>
      </c>
    </row>
    <row r="790" spans="2:20">
      <c r="B790" s="386" t="s">
        <v>895</v>
      </c>
      <c r="C790" s="114"/>
      <c r="D790" s="111" t="s">
        <v>1547</v>
      </c>
      <c r="E790" s="111" t="s">
        <v>1805</v>
      </c>
      <c r="F790" s="111"/>
      <c r="G790" s="110" t="s">
        <v>2073</v>
      </c>
      <c r="H790" s="141">
        <v>911.81028100000003</v>
      </c>
      <c r="I790" s="280"/>
      <c r="J790" s="72">
        <v>148.52000000000001</v>
      </c>
      <c r="K790" s="271">
        <f t="shared" si="36"/>
        <v>135422.06293412001</v>
      </c>
      <c r="L790" s="111"/>
      <c r="M790" s="73"/>
      <c r="N790" s="112"/>
      <c r="O790" s="111"/>
      <c r="P790" s="312">
        <v>0</v>
      </c>
      <c r="Q790" s="288">
        <f t="shared" si="37"/>
        <v>0</v>
      </c>
      <c r="R790" s="118">
        <v>0</v>
      </c>
      <c r="S790" s="283">
        <v>2016</v>
      </c>
      <c r="T790" s="288">
        <f t="shared" si="38"/>
        <v>146742</v>
      </c>
    </row>
    <row r="791" spans="2:20">
      <c r="B791" s="386" t="s">
        <v>896</v>
      </c>
      <c r="C791" s="114"/>
      <c r="D791" s="111" t="s">
        <v>1547</v>
      </c>
      <c r="E791" s="111" t="s">
        <v>1805</v>
      </c>
      <c r="F791" s="111"/>
      <c r="G791" s="110" t="s">
        <v>2073</v>
      </c>
      <c r="H791" s="141">
        <v>379.89558699999998</v>
      </c>
      <c r="I791" s="280"/>
      <c r="J791" s="72">
        <v>148.52000000000001</v>
      </c>
      <c r="K791" s="271">
        <f t="shared" si="36"/>
        <v>56422.092581240002</v>
      </c>
      <c r="L791" s="111"/>
      <c r="M791" s="73"/>
      <c r="N791" s="112"/>
      <c r="O791" s="111"/>
      <c r="P791" s="312">
        <v>0</v>
      </c>
      <c r="Q791" s="288">
        <f t="shared" si="37"/>
        <v>0</v>
      </c>
      <c r="R791" s="118">
        <v>0</v>
      </c>
      <c r="S791" s="283">
        <v>2016</v>
      </c>
      <c r="T791" s="288">
        <f t="shared" si="38"/>
        <v>61138</v>
      </c>
    </row>
    <row r="792" spans="2:20">
      <c r="B792" s="386" t="s">
        <v>897</v>
      </c>
      <c r="C792" s="114"/>
      <c r="D792" s="111" t="s">
        <v>1546</v>
      </c>
      <c r="E792" s="111" t="s">
        <v>1806</v>
      </c>
      <c r="F792" s="111"/>
      <c r="G792" s="110" t="s">
        <v>2073</v>
      </c>
      <c r="H792" s="141">
        <v>172.48092399999999</v>
      </c>
      <c r="I792" s="280"/>
      <c r="J792" s="72">
        <v>148.52000000000001</v>
      </c>
      <c r="K792" s="271">
        <f t="shared" si="36"/>
        <v>25616.866832479998</v>
      </c>
      <c r="L792" s="111"/>
      <c r="M792" s="73"/>
      <c r="N792" s="112"/>
      <c r="O792" s="111"/>
      <c r="P792" s="312">
        <v>0</v>
      </c>
      <c r="Q792" s="288">
        <f t="shared" si="37"/>
        <v>0</v>
      </c>
      <c r="R792" s="118">
        <v>0</v>
      </c>
      <c r="S792" s="283">
        <v>2016</v>
      </c>
      <c r="T792" s="288">
        <f t="shared" si="38"/>
        <v>27758</v>
      </c>
    </row>
    <row r="793" spans="2:20">
      <c r="B793" s="386" t="s">
        <v>898</v>
      </c>
      <c r="C793" s="114"/>
      <c r="D793" s="111" t="s">
        <v>1547</v>
      </c>
      <c r="E793" s="111" t="s">
        <v>1807</v>
      </c>
      <c r="F793" s="111"/>
      <c r="G793" s="110" t="s">
        <v>2073</v>
      </c>
      <c r="H793" s="141">
        <v>148.58533299999999</v>
      </c>
      <c r="I793" s="280"/>
      <c r="J793" s="72">
        <v>148.52000000000001</v>
      </c>
      <c r="K793" s="271">
        <f t="shared" si="36"/>
        <v>22067.893657159999</v>
      </c>
      <c r="L793" s="111"/>
      <c r="M793" s="73"/>
      <c r="N793" s="112"/>
      <c r="O793" s="111"/>
      <c r="P793" s="312">
        <v>0</v>
      </c>
      <c r="Q793" s="288">
        <f t="shared" si="37"/>
        <v>0</v>
      </c>
      <c r="R793" s="118">
        <v>0</v>
      </c>
      <c r="S793" s="283">
        <v>2016</v>
      </c>
      <c r="T793" s="288">
        <f t="shared" si="38"/>
        <v>23913</v>
      </c>
    </row>
    <row r="794" spans="2:20">
      <c r="B794" s="386" t="s">
        <v>899</v>
      </c>
      <c r="C794" s="114"/>
      <c r="D794" s="111" t="s">
        <v>1547</v>
      </c>
      <c r="E794" s="111" t="s">
        <v>1808</v>
      </c>
      <c r="F794" s="111"/>
      <c r="G794" s="110" t="s">
        <v>2074</v>
      </c>
      <c r="H794" s="141">
        <v>134.331537</v>
      </c>
      <c r="I794" s="280"/>
      <c r="J794" s="72">
        <v>148.52000000000001</v>
      </c>
      <c r="K794" s="271">
        <f t="shared" si="36"/>
        <v>19950.919875240001</v>
      </c>
      <c r="L794" s="111"/>
      <c r="M794" s="73"/>
      <c r="N794" s="112"/>
      <c r="O794" s="111"/>
      <c r="P794" s="312">
        <v>0</v>
      </c>
      <c r="Q794" s="288">
        <f t="shared" si="37"/>
        <v>0</v>
      </c>
      <c r="R794" s="118">
        <v>0</v>
      </c>
      <c r="S794" s="283">
        <v>2016</v>
      </c>
      <c r="T794" s="288">
        <f t="shared" si="38"/>
        <v>21619</v>
      </c>
    </row>
    <row r="795" spans="2:20">
      <c r="B795" s="386" t="s">
        <v>900</v>
      </c>
      <c r="C795" s="114"/>
      <c r="D795" s="111" t="s">
        <v>1546</v>
      </c>
      <c r="E795" s="111" t="s">
        <v>1800</v>
      </c>
      <c r="F795" s="111"/>
      <c r="G795" s="110" t="s">
        <v>2073</v>
      </c>
      <c r="H795" s="141">
        <v>65.059856999999994</v>
      </c>
      <c r="I795" s="280"/>
      <c r="J795" s="72">
        <v>148.52000000000001</v>
      </c>
      <c r="K795" s="271">
        <f t="shared" si="36"/>
        <v>9662.6899616400005</v>
      </c>
      <c r="L795" s="111"/>
      <c r="M795" s="73"/>
      <c r="N795" s="112"/>
      <c r="O795" s="111"/>
      <c r="P795" s="312">
        <v>0</v>
      </c>
      <c r="Q795" s="288">
        <f t="shared" si="37"/>
        <v>0</v>
      </c>
      <c r="R795" s="118">
        <v>0</v>
      </c>
      <c r="S795" s="283">
        <v>2016</v>
      </c>
      <c r="T795" s="288">
        <f t="shared" si="38"/>
        <v>10470</v>
      </c>
    </row>
    <row r="796" spans="2:20">
      <c r="B796" s="386" t="s">
        <v>901</v>
      </c>
      <c r="C796" s="114"/>
      <c r="D796" s="111" t="s">
        <v>1546</v>
      </c>
      <c r="E796" s="111" t="s">
        <v>1800</v>
      </c>
      <c r="F796" s="111"/>
      <c r="G796" s="110" t="s">
        <v>2073</v>
      </c>
      <c r="H796" s="141">
        <v>37.115710999999997</v>
      </c>
      <c r="I796" s="280"/>
      <c r="J796" s="72">
        <v>148.52000000000001</v>
      </c>
      <c r="K796" s="271">
        <f t="shared" si="36"/>
        <v>5512.4253977199996</v>
      </c>
      <c r="L796" s="111"/>
      <c r="M796" s="73"/>
      <c r="N796" s="112"/>
      <c r="O796" s="111"/>
      <c r="P796" s="312">
        <v>0</v>
      </c>
      <c r="Q796" s="288">
        <f t="shared" si="37"/>
        <v>0</v>
      </c>
      <c r="R796" s="118">
        <v>0</v>
      </c>
      <c r="S796" s="283">
        <v>2016</v>
      </c>
      <c r="T796" s="288">
        <f t="shared" si="38"/>
        <v>5973</v>
      </c>
    </row>
    <row r="797" spans="2:20">
      <c r="B797" s="386" t="s">
        <v>902</v>
      </c>
      <c r="C797" s="114"/>
      <c r="D797" s="111" t="s">
        <v>1547</v>
      </c>
      <c r="E797" s="111" t="s">
        <v>1809</v>
      </c>
      <c r="F797" s="111"/>
      <c r="G797" s="110" t="s">
        <v>2073</v>
      </c>
      <c r="H797" s="141">
        <v>194.242141</v>
      </c>
      <c r="I797" s="280"/>
      <c r="J797" s="72">
        <v>148.52000000000001</v>
      </c>
      <c r="K797" s="271">
        <f t="shared" si="36"/>
        <v>28848.842781320003</v>
      </c>
      <c r="L797" s="111"/>
      <c r="M797" s="73"/>
      <c r="N797" s="112"/>
      <c r="O797" s="111"/>
      <c r="P797" s="312">
        <v>0</v>
      </c>
      <c r="Q797" s="288">
        <f t="shared" si="37"/>
        <v>0</v>
      </c>
      <c r="R797" s="118">
        <v>0</v>
      </c>
      <c r="S797" s="283">
        <v>2016</v>
      </c>
      <c r="T797" s="288">
        <f t="shared" si="38"/>
        <v>31260</v>
      </c>
    </row>
    <row r="798" spans="2:20">
      <c r="B798" s="386" t="s">
        <v>903</v>
      </c>
      <c r="C798" s="114"/>
      <c r="D798" s="111" t="s">
        <v>1547</v>
      </c>
      <c r="E798" s="111" t="s">
        <v>1810</v>
      </c>
      <c r="F798" s="111"/>
      <c r="G798" s="110" t="s">
        <v>2073</v>
      </c>
      <c r="H798" s="141">
        <v>135.42696100000001</v>
      </c>
      <c r="I798" s="280"/>
      <c r="J798" s="72">
        <v>148.52000000000001</v>
      </c>
      <c r="K798" s="271">
        <f t="shared" si="36"/>
        <v>20113.612247720001</v>
      </c>
      <c r="L798" s="111"/>
      <c r="M798" s="73"/>
      <c r="N798" s="112"/>
      <c r="O798" s="111"/>
      <c r="P798" s="312">
        <v>0</v>
      </c>
      <c r="Q798" s="288">
        <f t="shared" si="37"/>
        <v>0</v>
      </c>
      <c r="R798" s="118">
        <v>0</v>
      </c>
      <c r="S798" s="283">
        <v>2016</v>
      </c>
      <c r="T798" s="288">
        <f t="shared" si="38"/>
        <v>21795</v>
      </c>
    </row>
    <row r="799" spans="2:20">
      <c r="B799" s="386" t="s">
        <v>904</v>
      </c>
      <c r="C799" s="114"/>
      <c r="D799" s="111" t="s">
        <v>1547</v>
      </c>
      <c r="E799" s="111" t="s">
        <v>1810</v>
      </c>
      <c r="F799" s="111"/>
      <c r="G799" s="110" t="s">
        <v>2073</v>
      </c>
      <c r="H799" s="141">
        <v>347.11541299999999</v>
      </c>
      <c r="I799" s="280"/>
      <c r="J799" s="72">
        <v>148.52000000000001</v>
      </c>
      <c r="K799" s="271">
        <f t="shared" si="36"/>
        <v>51553.581138760004</v>
      </c>
      <c r="L799" s="111"/>
      <c r="M799" s="73"/>
      <c r="N799" s="112"/>
      <c r="O799" s="111"/>
      <c r="P799" s="312">
        <v>0</v>
      </c>
      <c r="Q799" s="288">
        <f t="shared" si="37"/>
        <v>0</v>
      </c>
      <c r="R799" s="118">
        <v>0</v>
      </c>
      <c r="S799" s="283">
        <v>2016</v>
      </c>
      <c r="T799" s="288">
        <f t="shared" si="38"/>
        <v>55863</v>
      </c>
    </row>
    <row r="800" spans="2:20">
      <c r="B800" s="386" t="s">
        <v>905</v>
      </c>
      <c r="C800" s="114"/>
      <c r="D800" s="111" t="s">
        <v>1547</v>
      </c>
      <c r="E800" s="111" t="s">
        <v>1811</v>
      </c>
      <c r="F800" s="111"/>
      <c r="G800" s="110" t="s">
        <v>2073</v>
      </c>
      <c r="H800" s="141">
        <v>93.963740999999999</v>
      </c>
      <c r="I800" s="280"/>
      <c r="J800" s="72">
        <v>148.52000000000001</v>
      </c>
      <c r="K800" s="271">
        <f t="shared" si="36"/>
        <v>13955.494813320001</v>
      </c>
      <c r="L800" s="111"/>
      <c r="M800" s="73"/>
      <c r="N800" s="112"/>
      <c r="O800" s="111"/>
      <c r="P800" s="312">
        <v>0</v>
      </c>
      <c r="Q800" s="288">
        <f t="shared" si="37"/>
        <v>0</v>
      </c>
      <c r="R800" s="118">
        <v>0</v>
      </c>
      <c r="S800" s="283">
        <v>2016</v>
      </c>
      <c r="T800" s="288">
        <f t="shared" si="38"/>
        <v>15122</v>
      </c>
    </row>
    <row r="801" spans="2:20">
      <c r="B801" s="386" t="s">
        <v>906</v>
      </c>
      <c r="C801" s="114"/>
      <c r="D801" s="111" t="s">
        <v>1547</v>
      </c>
      <c r="E801" s="111" t="s">
        <v>1811</v>
      </c>
      <c r="F801" s="111"/>
      <c r="G801" s="110" t="s">
        <v>2073</v>
      </c>
      <c r="H801" s="141">
        <v>671.86433199999999</v>
      </c>
      <c r="I801" s="280"/>
      <c r="J801" s="72">
        <v>148.52000000000001</v>
      </c>
      <c r="K801" s="271">
        <f t="shared" si="36"/>
        <v>99785.290588640011</v>
      </c>
      <c r="L801" s="111"/>
      <c r="M801" s="73"/>
      <c r="N801" s="112"/>
      <c r="O801" s="111"/>
      <c r="P801" s="312">
        <v>0</v>
      </c>
      <c r="Q801" s="288">
        <f t="shared" si="37"/>
        <v>0</v>
      </c>
      <c r="R801" s="118">
        <v>0</v>
      </c>
      <c r="S801" s="283">
        <v>2016</v>
      </c>
      <c r="T801" s="288">
        <f t="shared" si="38"/>
        <v>108126</v>
      </c>
    </row>
    <row r="802" spans="2:20">
      <c r="B802" s="386" t="s">
        <v>907</v>
      </c>
      <c r="C802" s="114"/>
      <c r="D802" s="111" t="s">
        <v>1547</v>
      </c>
      <c r="E802" s="111" t="s">
        <v>1811</v>
      </c>
      <c r="F802" s="111"/>
      <c r="G802" s="110" t="s">
        <v>2073</v>
      </c>
      <c r="H802" s="141">
        <v>93.543428000000006</v>
      </c>
      <c r="I802" s="280"/>
      <c r="J802" s="72">
        <v>148.52000000000001</v>
      </c>
      <c r="K802" s="271">
        <f t="shared" si="36"/>
        <v>13893.069926560001</v>
      </c>
      <c r="L802" s="111"/>
      <c r="M802" s="73"/>
      <c r="N802" s="112"/>
      <c r="O802" s="111"/>
      <c r="P802" s="312">
        <v>0</v>
      </c>
      <c r="Q802" s="288">
        <f t="shared" si="37"/>
        <v>0</v>
      </c>
      <c r="R802" s="118">
        <v>0</v>
      </c>
      <c r="S802" s="283">
        <v>2016</v>
      </c>
      <c r="T802" s="288">
        <f t="shared" si="38"/>
        <v>15054</v>
      </c>
    </row>
    <row r="803" spans="2:20">
      <c r="B803" s="386" t="s">
        <v>908</v>
      </c>
      <c r="C803" s="114"/>
      <c r="D803" s="111" t="s">
        <v>1547</v>
      </c>
      <c r="E803" s="111" t="s">
        <v>1811</v>
      </c>
      <c r="F803" s="111"/>
      <c r="G803" s="110" t="s">
        <v>2073</v>
      </c>
      <c r="H803" s="141">
        <v>1550.88816</v>
      </c>
      <c r="I803" s="280"/>
      <c r="J803" s="72">
        <v>148.52000000000001</v>
      </c>
      <c r="K803" s="271">
        <f t="shared" si="36"/>
        <v>230337.90952320001</v>
      </c>
      <c r="L803" s="111"/>
      <c r="M803" s="73"/>
      <c r="N803" s="112"/>
      <c r="O803" s="111"/>
      <c r="P803" s="312">
        <v>0</v>
      </c>
      <c r="Q803" s="288">
        <f t="shared" si="37"/>
        <v>0</v>
      </c>
      <c r="R803" s="118">
        <v>0</v>
      </c>
      <c r="S803" s="283">
        <v>2016</v>
      </c>
      <c r="T803" s="288">
        <f t="shared" si="38"/>
        <v>249592</v>
      </c>
    </row>
    <row r="804" spans="2:20">
      <c r="B804" s="386" t="s">
        <v>909</v>
      </c>
      <c r="C804" s="114"/>
      <c r="D804" s="111" t="s">
        <v>1547</v>
      </c>
      <c r="E804" s="111" t="s">
        <v>1811</v>
      </c>
      <c r="F804" s="111"/>
      <c r="G804" s="110" t="s">
        <v>2073</v>
      </c>
      <c r="H804" s="141">
        <v>331.38951800000001</v>
      </c>
      <c r="I804" s="280"/>
      <c r="J804" s="72">
        <v>148.52000000000001</v>
      </c>
      <c r="K804" s="271">
        <f t="shared" si="36"/>
        <v>49217.971213360004</v>
      </c>
      <c r="L804" s="111"/>
      <c r="M804" s="73"/>
      <c r="N804" s="112"/>
      <c r="O804" s="111"/>
      <c r="P804" s="312">
        <v>0</v>
      </c>
      <c r="Q804" s="288">
        <f t="shared" si="37"/>
        <v>0</v>
      </c>
      <c r="R804" s="118">
        <v>0</v>
      </c>
      <c r="S804" s="283">
        <v>2016</v>
      </c>
      <c r="T804" s="288">
        <f t="shared" si="38"/>
        <v>53332</v>
      </c>
    </row>
    <row r="805" spans="2:20">
      <c r="B805" s="386" t="s">
        <v>910</v>
      </c>
      <c r="C805" s="114"/>
      <c r="D805" s="111" t="s">
        <v>1547</v>
      </c>
      <c r="E805" s="111" t="s">
        <v>1811</v>
      </c>
      <c r="F805" s="111"/>
      <c r="G805" s="110" t="s">
        <v>2073</v>
      </c>
      <c r="H805" s="141">
        <v>79.439234999999996</v>
      </c>
      <c r="I805" s="280"/>
      <c r="J805" s="72">
        <v>148.52000000000001</v>
      </c>
      <c r="K805" s="271">
        <f t="shared" si="36"/>
        <v>11798.3151822</v>
      </c>
      <c r="L805" s="111"/>
      <c r="M805" s="73"/>
      <c r="N805" s="112"/>
      <c r="O805" s="111"/>
      <c r="P805" s="312">
        <v>0</v>
      </c>
      <c r="Q805" s="288">
        <f t="shared" si="37"/>
        <v>0</v>
      </c>
      <c r="R805" s="118">
        <v>0</v>
      </c>
      <c r="S805" s="283">
        <v>2016</v>
      </c>
      <c r="T805" s="288">
        <f t="shared" si="38"/>
        <v>12785</v>
      </c>
    </row>
    <row r="806" spans="2:20">
      <c r="B806" s="386" t="s">
        <v>911</v>
      </c>
      <c r="C806" s="114"/>
      <c r="D806" s="111" t="s">
        <v>1547</v>
      </c>
      <c r="E806" s="111" t="s">
        <v>1811</v>
      </c>
      <c r="F806" s="111"/>
      <c r="G806" s="110" t="s">
        <v>2073</v>
      </c>
      <c r="H806" s="141">
        <v>420.31643600000001</v>
      </c>
      <c r="I806" s="280"/>
      <c r="J806" s="72">
        <v>148.52000000000001</v>
      </c>
      <c r="K806" s="271">
        <f t="shared" si="36"/>
        <v>62425.397074720007</v>
      </c>
      <c r="L806" s="111"/>
      <c r="M806" s="73"/>
      <c r="N806" s="112"/>
      <c r="O806" s="111"/>
      <c r="P806" s="312">
        <v>0</v>
      </c>
      <c r="Q806" s="288">
        <f t="shared" si="37"/>
        <v>0</v>
      </c>
      <c r="R806" s="118">
        <v>0</v>
      </c>
      <c r="S806" s="283">
        <v>2016</v>
      </c>
      <c r="T806" s="288">
        <f t="shared" si="38"/>
        <v>67644</v>
      </c>
    </row>
    <row r="807" spans="2:20">
      <c r="B807" s="386" t="s">
        <v>912</v>
      </c>
      <c r="C807" s="114"/>
      <c r="D807" s="111" t="s">
        <v>1547</v>
      </c>
      <c r="E807" s="111" t="s">
        <v>1812</v>
      </c>
      <c r="F807" s="111"/>
      <c r="G807" s="110" t="s">
        <v>2073</v>
      </c>
      <c r="H807" s="141">
        <v>1366.4039780000001</v>
      </c>
      <c r="I807" s="280"/>
      <c r="J807" s="72">
        <v>148.52000000000001</v>
      </c>
      <c r="K807" s="271">
        <f t="shared" si="36"/>
        <v>202938.31881256003</v>
      </c>
      <c r="L807" s="111"/>
      <c r="M807" s="73"/>
      <c r="N807" s="112"/>
      <c r="O807" s="111"/>
      <c r="P807" s="312">
        <v>0</v>
      </c>
      <c r="Q807" s="288">
        <f t="shared" si="37"/>
        <v>0</v>
      </c>
      <c r="R807" s="118">
        <v>0</v>
      </c>
      <c r="S807" s="283">
        <v>2016</v>
      </c>
      <c r="T807" s="288">
        <f t="shared" si="38"/>
        <v>219902</v>
      </c>
    </row>
    <row r="808" spans="2:20">
      <c r="B808" s="386" t="s">
        <v>913</v>
      </c>
      <c r="C808" s="114"/>
      <c r="D808" s="111" t="s">
        <v>1547</v>
      </c>
      <c r="E808" s="111" t="s">
        <v>1812</v>
      </c>
      <c r="F808" s="111"/>
      <c r="G808" s="110" t="s">
        <v>2073</v>
      </c>
      <c r="H808" s="141">
        <v>74.164654999999996</v>
      </c>
      <c r="I808" s="280"/>
      <c r="J808" s="72">
        <v>148.52000000000001</v>
      </c>
      <c r="K808" s="271">
        <f t="shared" si="36"/>
        <v>11014.934560600001</v>
      </c>
      <c r="L808" s="111"/>
      <c r="M808" s="73"/>
      <c r="N808" s="112"/>
      <c r="O808" s="111"/>
      <c r="P808" s="312">
        <v>0</v>
      </c>
      <c r="Q808" s="288">
        <f t="shared" si="37"/>
        <v>0</v>
      </c>
      <c r="R808" s="118">
        <v>0</v>
      </c>
      <c r="S808" s="283">
        <v>2016</v>
      </c>
      <c r="T808" s="288">
        <f t="shared" si="38"/>
        <v>11936</v>
      </c>
    </row>
    <row r="809" spans="2:20">
      <c r="B809" s="386" t="s">
        <v>914</v>
      </c>
      <c r="C809" s="114"/>
      <c r="D809" s="111" t="s">
        <v>1547</v>
      </c>
      <c r="E809" s="111" t="s">
        <v>1812</v>
      </c>
      <c r="F809" s="111"/>
      <c r="G809" s="110" t="s">
        <v>2073</v>
      </c>
      <c r="H809" s="141">
        <v>130.96267</v>
      </c>
      <c r="I809" s="280"/>
      <c r="J809" s="72">
        <v>148.52000000000001</v>
      </c>
      <c r="K809" s="271">
        <f t="shared" si="36"/>
        <v>19450.575748400002</v>
      </c>
      <c r="L809" s="111"/>
      <c r="M809" s="73"/>
      <c r="N809" s="112"/>
      <c r="O809" s="111"/>
      <c r="P809" s="312">
        <v>0</v>
      </c>
      <c r="Q809" s="288">
        <f t="shared" si="37"/>
        <v>0</v>
      </c>
      <c r="R809" s="118">
        <v>0</v>
      </c>
      <c r="S809" s="283">
        <v>2016</v>
      </c>
      <c r="T809" s="288">
        <f t="shared" si="38"/>
        <v>21076</v>
      </c>
    </row>
    <row r="810" spans="2:20">
      <c r="B810" s="386" t="s">
        <v>915</v>
      </c>
      <c r="C810" s="114"/>
      <c r="D810" s="111" t="s">
        <v>1547</v>
      </c>
      <c r="E810" s="111" t="s">
        <v>1813</v>
      </c>
      <c r="F810" s="111"/>
      <c r="G810" s="110" t="s">
        <v>2073</v>
      </c>
      <c r="H810" s="141">
        <v>674.52027699999996</v>
      </c>
      <c r="I810" s="280"/>
      <c r="J810" s="72">
        <v>148.52000000000001</v>
      </c>
      <c r="K810" s="271">
        <f t="shared" si="36"/>
        <v>100179.75154004</v>
      </c>
      <c r="L810" s="111"/>
      <c r="M810" s="73"/>
      <c r="N810" s="112"/>
      <c r="O810" s="111"/>
      <c r="P810" s="312">
        <v>0</v>
      </c>
      <c r="Q810" s="288">
        <f t="shared" si="37"/>
        <v>0</v>
      </c>
      <c r="R810" s="118">
        <v>0</v>
      </c>
      <c r="S810" s="283">
        <v>2016</v>
      </c>
      <c r="T810" s="288">
        <f t="shared" si="38"/>
        <v>108554</v>
      </c>
    </row>
    <row r="811" spans="2:20">
      <c r="B811" s="386" t="s">
        <v>916</v>
      </c>
      <c r="C811" s="114"/>
      <c r="D811" s="111" t="s">
        <v>1547</v>
      </c>
      <c r="E811" s="111" t="s">
        <v>1813</v>
      </c>
      <c r="F811" s="111"/>
      <c r="G811" s="110" t="s">
        <v>2074</v>
      </c>
      <c r="H811" s="141">
        <v>268.05315000000002</v>
      </c>
      <c r="I811" s="280"/>
      <c r="J811" s="72">
        <v>148.52000000000001</v>
      </c>
      <c r="K811" s="271">
        <f t="shared" si="36"/>
        <v>39811.253838000004</v>
      </c>
      <c r="L811" s="111"/>
      <c r="M811" s="73"/>
      <c r="N811" s="112"/>
      <c r="O811" s="111"/>
      <c r="P811" s="312">
        <v>0</v>
      </c>
      <c r="Q811" s="288">
        <f t="shared" si="37"/>
        <v>0</v>
      </c>
      <c r="R811" s="118">
        <v>0</v>
      </c>
      <c r="S811" s="283">
        <v>2016</v>
      </c>
      <c r="T811" s="288">
        <f t="shared" si="38"/>
        <v>43139</v>
      </c>
    </row>
    <row r="812" spans="2:20">
      <c r="B812" s="386" t="s">
        <v>917</v>
      </c>
      <c r="C812" s="114"/>
      <c r="D812" s="111" t="s">
        <v>1547</v>
      </c>
      <c r="E812" s="111" t="s">
        <v>1813</v>
      </c>
      <c r="F812" s="111"/>
      <c r="G812" s="110" t="s">
        <v>2073</v>
      </c>
      <c r="H812" s="141">
        <v>57.924137000000002</v>
      </c>
      <c r="I812" s="280"/>
      <c r="J812" s="72">
        <v>148.52000000000001</v>
      </c>
      <c r="K812" s="271">
        <f t="shared" ref="K812:K869" si="39">J812*H812</f>
        <v>8602.8928272400008</v>
      </c>
      <c r="L812" s="111"/>
      <c r="M812" s="73"/>
      <c r="N812" s="112"/>
      <c r="O812" s="111"/>
      <c r="P812" s="312">
        <v>0</v>
      </c>
      <c r="Q812" s="288">
        <f t="shared" ref="Q812:Q869" si="40">IFERROR(R812/P812,0)</f>
        <v>0</v>
      </c>
      <c r="R812" s="118">
        <v>0</v>
      </c>
      <c r="S812" s="283">
        <v>2016</v>
      </c>
      <c r="T812" s="288">
        <f t="shared" si="38"/>
        <v>9322</v>
      </c>
    </row>
    <row r="813" spans="2:20">
      <c r="B813" s="386" t="s">
        <v>918</v>
      </c>
      <c r="C813" s="114"/>
      <c r="D813" s="111" t="s">
        <v>1547</v>
      </c>
      <c r="E813" s="111" t="s">
        <v>1813</v>
      </c>
      <c r="F813" s="111"/>
      <c r="G813" s="110" t="s">
        <v>2073</v>
      </c>
      <c r="H813" s="141">
        <v>53.204346000000001</v>
      </c>
      <c r="I813" s="280"/>
      <c r="J813" s="72">
        <v>148.52000000000001</v>
      </c>
      <c r="K813" s="271">
        <f t="shared" si="39"/>
        <v>7901.9094679200007</v>
      </c>
      <c r="L813" s="111"/>
      <c r="M813" s="73"/>
      <c r="N813" s="112"/>
      <c r="O813" s="111"/>
      <c r="P813" s="312">
        <v>0</v>
      </c>
      <c r="Q813" s="288">
        <f t="shared" si="40"/>
        <v>0</v>
      </c>
      <c r="R813" s="118">
        <v>0</v>
      </c>
      <c r="S813" s="283">
        <v>2016</v>
      </c>
      <c r="T813" s="288">
        <f t="shared" si="38"/>
        <v>8562</v>
      </c>
    </row>
    <row r="814" spans="2:20">
      <c r="B814" s="386" t="s">
        <v>919</v>
      </c>
      <c r="C814" s="114"/>
      <c r="D814" s="111" t="s">
        <v>1547</v>
      </c>
      <c r="E814" s="111" t="s">
        <v>1813</v>
      </c>
      <c r="F814" s="111"/>
      <c r="G814" s="110" t="s">
        <v>2074</v>
      </c>
      <c r="H814" s="141">
        <v>123.58026599999999</v>
      </c>
      <c r="I814" s="280"/>
      <c r="J814" s="72">
        <v>148.52000000000001</v>
      </c>
      <c r="K814" s="271">
        <f t="shared" si="39"/>
        <v>18354.141106319999</v>
      </c>
      <c r="L814" s="111"/>
      <c r="M814" s="73"/>
      <c r="N814" s="112"/>
      <c r="O814" s="111"/>
      <c r="P814" s="312">
        <v>0</v>
      </c>
      <c r="Q814" s="288">
        <f t="shared" si="40"/>
        <v>0</v>
      </c>
      <c r="R814" s="118">
        <v>0</v>
      </c>
      <c r="S814" s="283">
        <v>2016</v>
      </c>
      <c r="T814" s="288">
        <f t="shared" si="38"/>
        <v>19888</v>
      </c>
    </row>
    <row r="815" spans="2:20">
      <c r="B815" s="386" t="s">
        <v>920</v>
      </c>
      <c r="C815" s="114"/>
      <c r="D815" s="111" t="s">
        <v>1547</v>
      </c>
      <c r="E815" s="111" t="s">
        <v>1813</v>
      </c>
      <c r="F815" s="111"/>
      <c r="G815" s="110" t="s">
        <v>2073</v>
      </c>
      <c r="H815" s="141">
        <v>27.731857999999999</v>
      </c>
      <c r="I815" s="280"/>
      <c r="J815" s="72">
        <v>148.52000000000001</v>
      </c>
      <c r="K815" s="271">
        <f t="shared" si="39"/>
        <v>4118.7355501600005</v>
      </c>
      <c r="L815" s="111"/>
      <c r="M815" s="73"/>
      <c r="N815" s="112"/>
      <c r="O815" s="111"/>
      <c r="P815" s="312">
        <v>0</v>
      </c>
      <c r="Q815" s="288">
        <f t="shared" si="40"/>
        <v>0</v>
      </c>
      <c r="R815" s="118">
        <v>0</v>
      </c>
      <c r="S815" s="283">
        <v>2016</v>
      </c>
      <c r="T815" s="288">
        <f t="shared" si="38"/>
        <v>4463</v>
      </c>
    </row>
    <row r="816" spans="2:20">
      <c r="B816" s="386" t="s">
        <v>921</v>
      </c>
      <c r="C816" s="114"/>
      <c r="D816" s="111" t="s">
        <v>1547</v>
      </c>
      <c r="E816" s="111" t="s">
        <v>1813</v>
      </c>
      <c r="F816" s="111"/>
      <c r="G816" s="110" t="s">
        <v>2073</v>
      </c>
      <c r="H816" s="141">
        <v>31.319928000000001</v>
      </c>
      <c r="I816" s="280"/>
      <c r="J816" s="72">
        <v>148.52000000000001</v>
      </c>
      <c r="K816" s="271">
        <f t="shared" si="39"/>
        <v>4651.6357065600005</v>
      </c>
      <c r="L816" s="111"/>
      <c r="M816" s="73"/>
      <c r="N816" s="112"/>
      <c r="O816" s="111"/>
      <c r="P816" s="312">
        <v>0</v>
      </c>
      <c r="Q816" s="288">
        <f t="shared" si="40"/>
        <v>0</v>
      </c>
      <c r="R816" s="118">
        <v>0</v>
      </c>
      <c r="S816" s="283">
        <v>2016</v>
      </c>
      <c r="T816" s="288">
        <f t="shared" si="38"/>
        <v>5040</v>
      </c>
    </row>
    <row r="817" spans="2:20">
      <c r="B817" s="386" t="s">
        <v>922</v>
      </c>
      <c r="C817" s="114"/>
      <c r="D817" s="111" t="s">
        <v>1547</v>
      </c>
      <c r="E817" s="111" t="s">
        <v>1814</v>
      </c>
      <c r="F817" s="111"/>
      <c r="G817" s="110" t="s">
        <v>2073</v>
      </c>
      <c r="H817" s="141">
        <v>67.018130999999997</v>
      </c>
      <c r="I817" s="280"/>
      <c r="J817" s="72">
        <v>148.52000000000001</v>
      </c>
      <c r="K817" s="271">
        <f t="shared" si="39"/>
        <v>9953.5328161199996</v>
      </c>
      <c r="L817" s="111"/>
      <c r="M817" s="73"/>
      <c r="N817" s="112"/>
      <c r="O817" s="111"/>
      <c r="P817" s="312">
        <v>0</v>
      </c>
      <c r="Q817" s="288">
        <f t="shared" si="40"/>
        <v>0</v>
      </c>
      <c r="R817" s="118">
        <v>0</v>
      </c>
      <c r="S817" s="283">
        <v>2016</v>
      </c>
      <c r="T817" s="288">
        <f t="shared" si="38"/>
        <v>10786</v>
      </c>
    </row>
    <row r="818" spans="2:20">
      <c r="B818" s="386" t="s">
        <v>923</v>
      </c>
      <c r="C818" s="114"/>
      <c r="D818" s="111" t="s">
        <v>1547</v>
      </c>
      <c r="E818" s="111" t="s">
        <v>1814</v>
      </c>
      <c r="F818" s="111"/>
      <c r="G818" s="110" t="s">
        <v>2073</v>
      </c>
      <c r="H818" s="141">
        <v>149.90179699999999</v>
      </c>
      <c r="I818" s="280"/>
      <c r="J818" s="72">
        <v>148.52000000000001</v>
      </c>
      <c r="K818" s="271">
        <f t="shared" si="39"/>
        <v>22263.414890439999</v>
      </c>
      <c r="L818" s="111"/>
      <c r="M818" s="73"/>
      <c r="N818" s="112"/>
      <c r="O818" s="111"/>
      <c r="P818" s="312">
        <v>0</v>
      </c>
      <c r="Q818" s="288">
        <f t="shared" si="40"/>
        <v>0</v>
      </c>
      <c r="R818" s="118">
        <v>0</v>
      </c>
      <c r="S818" s="283">
        <v>2016</v>
      </c>
      <c r="T818" s="288">
        <f t="shared" si="38"/>
        <v>24124</v>
      </c>
    </row>
    <row r="819" spans="2:20">
      <c r="B819" s="386" t="s">
        <v>924</v>
      </c>
      <c r="C819" s="114"/>
      <c r="D819" s="111" t="s">
        <v>1547</v>
      </c>
      <c r="E819" s="111" t="s">
        <v>1815</v>
      </c>
      <c r="F819" s="111"/>
      <c r="G819" s="110" t="s">
        <v>2073</v>
      </c>
      <c r="H819" s="141">
        <v>241.54190500000001</v>
      </c>
      <c r="I819" s="280"/>
      <c r="J819" s="72">
        <v>148.52000000000001</v>
      </c>
      <c r="K819" s="271">
        <f t="shared" si="39"/>
        <v>35873.803730600004</v>
      </c>
      <c r="L819" s="111"/>
      <c r="M819" s="73"/>
      <c r="N819" s="112"/>
      <c r="O819" s="111"/>
      <c r="P819" s="312">
        <v>0</v>
      </c>
      <c r="Q819" s="288">
        <f t="shared" si="40"/>
        <v>0</v>
      </c>
      <c r="R819" s="118">
        <v>0</v>
      </c>
      <c r="S819" s="283">
        <v>2016</v>
      </c>
      <c r="T819" s="288">
        <f t="shared" si="38"/>
        <v>38872</v>
      </c>
    </row>
    <row r="820" spans="2:20">
      <c r="B820" s="386" t="s">
        <v>925</v>
      </c>
      <c r="C820" s="114"/>
      <c r="D820" s="111" t="s">
        <v>1547</v>
      </c>
      <c r="E820" s="111" t="s">
        <v>1815</v>
      </c>
      <c r="F820" s="111"/>
      <c r="G820" s="110" t="s">
        <v>2073</v>
      </c>
      <c r="H820" s="141">
        <v>42.683855999999999</v>
      </c>
      <c r="I820" s="280"/>
      <c r="J820" s="72">
        <v>148.52000000000001</v>
      </c>
      <c r="K820" s="271">
        <f t="shared" si="39"/>
        <v>6339.4062931200006</v>
      </c>
      <c r="L820" s="111"/>
      <c r="M820" s="73"/>
      <c r="N820" s="112"/>
      <c r="O820" s="111"/>
      <c r="P820" s="312">
        <v>0</v>
      </c>
      <c r="Q820" s="288">
        <f t="shared" si="40"/>
        <v>0</v>
      </c>
      <c r="R820" s="118">
        <v>0</v>
      </c>
      <c r="S820" s="283">
        <v>2016</v>
      </c>
      <c r="T820" s="288">
        <f t="shared" si="38"/>
        <v>6869</v>
      </c>
    </row>
    <row r="821" spans="2:20">
      <c r="B821" s="386" t="s">
        <v>926</v>
      </c>
      <c r="C821" s="114"/>
      <c r="D821" s="111" t="s">
        <v>1547</v>
      </c>
      <c r="E821" s="111" t="s">
        <v>1815</v>
      </c>
      <c r="F821" s="111"/>
      <c r="G821" s="110" t="s">
        <v>2073</v>
      </c>
      <c r="H821" s="141">
        <v>129.68632700000001</v>
      </c>
      <c r="I821" s="280"/>
      <c r="J821" s="72">
        <v>148.52000000000001</v>
      </c>
      <c r="K821" s="271">
        <f t="shared" si="39"/>
        <v>19261.013286040001</v>
      </c>
      <c r="L821" s="111"/>
      <c r="M821" s="73"/>
      <c r="N821" s="112"/>
      <c r="O821" s="111"/>
      <c r="P821" s="312">
        <v>0</v>
      </c>
      <c r="Q821" s="288">
        <f t="shared" si="40"/>
        <v>0</v>
      </c>
      <c r="R821" s="118">
        <v>0</v>
      </c>
      <c r="S821" s="283">
        <v>2016</v>
      </c>
      <c r="T821" s="288">
        <f t="shared" si="38"/>
        <v>20871</v>
      </c>
    </row>
    <row r="822" spans="2:20">
      <c r="B822" s="386" t="s">
        <v>927</v>
      </c>
      <c r="C822" s="114"/>
      <c r="D822" s="111" t="s">
        <v>1547</v>
      </c>
      <c r="E822" s="111" t="s">
        <v>1815</v>
      </c>
      <c r="F822" s="111"/>
      <c r="G822" s="110" t="s">
        <v>2073</v>
      </c>
      <c r="H822" s="141">
        <v>88.703613000000004</v>
      </c>
      <c r="I822" s="280"/>
      <c r="J822" s="72">
        <v>148.52000000000001</v>
      </c>
      <c r="K822" s="271">
        <f t="shared" si="39"/>
        <v>13174.260602760001</v>
      </c>
      <c r="L822" s="111"/>
      <c r="M822" s="73"/>
      <c r="N822" s="112"/>
      <c r="O822" s="111"/>
      <c r="P822" s="312">
        <v>0</v>
      </c>
      <c r="Q822" s="288">
        <f t="shared" si="40"/>
        <v>0</v>
      </c>
      <c r="R822" s="118">
        <v>0</v>
      </c>
      <c r="S822" s="283">
        <v>2016</v>
      </c>
      <c r="T822" s="288">
        <f t="shared" si="38"/>
        <v>14275</v>
      </c>
    </row>
    <row r="823" spans="2:20">
      <c r="B823" s="386" t="s">
        <v>928</v>
      </c>
      <c r="C823" s="114"/>
      <c r="D823" s="111" t="s">
        <v>1547</v>
      </c>
      <c r="E823" s="111" t="s">
        <v>1810</v>
      </c>
      <c r="F823" s="111"/>
      <c r="G823" s="110" t="s">
        <v>2073</v>
      </c>
      <c r="H823" s="141">
        <v>3840.0008769999999</v>
      </c>
      <c r="I823" s="280"/>
      <c r="J823" s="72">
        <v>148.52000000000001</v>
      </c>
      <c r="K823" s="271">
        <f t="shared" si="39"/>
        <v>570316.93025204004</v>
      </c>
      <c r="L823" s="111"/>
      <c r="M823" s="73"/>
      <c r="N823" s="112"/>
      <c r="O823" s="111"/>
      <c r="P823" s="312">
        <v>0</v>
      </c>
      <c r="Q823" s="288">
        <f t="shared" si="40"/>
        <v>0</v>
      </c>
      <c r="R823" s="118">
        <v>0</v>
      </c>
      <c r="S823" s="283">
        <v>2016</v>
      </c>
      <c r="T823" s="288">
        <f t="shared" si="38"/>
        <v>617990</v>
      </c>
    </row>
    <row r="824" spans="2:20">
      <c r="B824" s="386" t="s">
        <v>929</v>
      </c>
      <c r="C824" s="114"/>
      <c r="D824" s="111" t="s">
        <v>1547</v>
      </c>
      <c r="E824" s="111" t="s">
        <v>1810</v>
      </c>
      <c r="F824" s="111"/>
      <c r="G824" s="110" t="s">
        <v>2073</v>
      </c>
      <c r="H824" s="141">
        <v>134.41677799999999</v>
      </c>
      <c r="I824" s="280"/>
      <c r="J824" s="72">
        <v>148.52000000000001</v>
      </c>
      <c r="K824" s="271">
        <f t="shared" si="39"/>
        <v>19963.579868560002</v>
      </c>
      <c r="L824" s="111"/>
      <c r="M824" s="73"/>
      <c r="N824" s="112"/>
      <c r="O824" s="111"/>
      <c r="P824" s="312">
        <v>0</v>
      </c>
      <c r="Q824" s="288">
        <f t="shared" si="40"/>
        <v>0</v>
      </c>
      <c r="R824" s="118">
        <v>0</v>
      </c>
      <c r="S824" s="283">
        <v>2016</v>
      </c>
      <c r="T824" s="288">
        <f t="shared" si="38"/>
        <v>21632</v>
      </c>
    </row>
    <row r="825" spans="2:20">
      <c r="B825" s="386" t="s">
        <v>930</v>
      </c>
      <c r="C825" s="114"/>
      <c r="D825" s="111" t="s">
        <v>1547</v>
      </c>
      <c r="E825" s="111" t="s">
        <v>1816</v>
      </c>
      <c r="F825" s="111"/>
      <c r="G825" s="110" t="s">
        <v>2073</v>
      </c>
      <c r="H825" s="141">
        <v>34.288888999999998</v>
      </c>
      <c r="I825" s="280"/>
      <c r="J825" s="72">
        <v>148.52000000000001</v>
      </c>
      <c r="K825" s="271">
        <f t="shared" si="39"/>
        <v>5092.5857942800003</v>
      </c>
      <c r="L825" s="111"/>
      <c r="M825" s="73"/>
      <c r="N825" s="112"/>
      <c r="O825" s="111"/>
      <c r="P825" s="312">
        <v>0</v>
      </c>
      <c r="Q825" s="288">
        <f t="shared" si="40"/>
        <v>0</v>
      </c>
      <c r="R825" s="118">
        <v>0</v>
      </c>
      <c r="S825" s="283">
        <v>2016</v>
      </c>
      <c r="T825" s="288">
        <f t="shared" si="38"/>
        <v>5518</v>
      </c>
    </row>
    <row r="826" spans="2:20">
      <c r="B826" s="386" t="s">
        <v>931</v>
      </c>
      <c r="C826" s="114"/>
      <c r="D826" s="111" t="s">
        <v>1546</v>
      </c>
      <c r="E826" s="111" t="s">
        <v>1817</v>
      </c>
      <c r="F826" s="111"/>
      <c r="G826" s="110" t="s">
        <v>2074</v>
      </c>
      <c r="H826" s="141">
        <v>174.22878399999999</v>
      </c>
      <c r="I826" s="280"/>
      <c r="J826" s="72">
        <v>148.52000000000001</v>
      </c>
      <c r="K826" s="271">
        <f t="shared" si="39"/>
        <v>25876.458999679999</v>
      </c>
      <c r="L826" s="111"/>
      <c r="M826" s="73"/>
      <c r="N826" s="112"/>
      <c r="O826" s="111"/>
      <c r="P826" s="312">
        <v>0</v>
      </c>
      <c r="Q826" s="288">
        <f t="shared" si="40"/>
        <v>0</v>
      </c>
      <c r="R826" s="118">
        <v>0</v>
      </c>
      <c r="S826" s="283">
        <v>2016</v>
      </c>
      <c r="T826" s="288">
        <f t="shared" si="38"/>
        <v>28039</v>
      </c>
    </row>
    <row r="827" spans="2:20">
      <c r="B827" s="386" t="s">
        <v>932</v>
      </c>
      <c r="C827" s="114"/>
      <c r="D827" s="111" t="s">
        <v>1546</v>
      </c>
      <c r="E827" s="111" t="s">
        <v>1817</v>
      </c>
      <c r="F827" s="111"/>
      <c r="G827" s="110" t="s">
        <v>2073</v>
      </c>
      <c r="H827" s="141">
        <v>61.389617999999999</v>
      </c>
      <c r="I827" s="280"/>
      <c r="J827" s="72">
        <v>148.52000000000001</v>
      </c>
      <c r="K827" s="271">
        <f t="shared" si="39"/>
        <v>9117.5860653600012</v>
      </c>
      <c r="L827" s="111"/>
      <c r="M827" s="73"/>
      <c r="N827" s="112"/>
      <c r="O827" s="111"/>
      <c r="P827" s="312">
        <v>0</v>
      </c>
      <c r="Q827" s="288">
        <f t="shared" si="40"/>
        <v>0</v>
      </c>
      <c r="R827" s="118">
        <v>0</v>
      </c>
      <c r="S827" s="283">
        <v>2016</v>
      </c>
      <c r="T827" s="288">
        <f t="shared" si="38"/>
        <v>9880</v>
      </c>
    </row>
    <row r="828" spans="2:20">
      <c r="B828" s="386" t="s">
        <v>933</v>
      </c>
      <c r="C828" s="114"/>
      <c r="D828" s="111" t="s">
        <v>1546</v>
      </c>
      <c r="E828" s="111" t="s">
        <v>1817</v>
      </c>
      <c r="F828" s="111"/>
      <c r="G828" s="110" t="s">
        <v>2073</v>
      </c>
      <c r="H828" s="141">
        <v>192.489431</v>
      </c>
      <c r="I828" s="280"/>
      <c r="J828" s="72">
        <v>148.52000000000001</v>
      </c>
      <c r="K828" s="271">
        <f t="shared" si="39"/>
        <v>28588.530292120002</v>
      </c>
      <c r="L828" s="111"/>
      <c r="M828" s="73"/>
      <c r="N828" s="112"/>
      <c r="O828" s="111"/>
      <c r="P828" s="312">
        <v>0</v>
      </c>
      <c r="Q828" s="288">
        <f t="shared" si="40"/>
        <v>0</v>
      </c>
      <c r="R828" s="118">
        <v>0</v>
      </c>
      <c r="S828" s="283">
        <v>2016</v>
      </c>
      <c r="T828" s="288">
        <f t="shared" si="38"/>
        <v>30978</v>
      </c>
    </row>
    <row r="829" spans="2:20">
      <c r="B829" s="386" t="s">
        <v>934</v>
      </c>
      <c r="C829" s="114"/>
      <c r="D829" s="111" t="s">
        <v>1547</v>
      </c>
      <c r="E829" s="111" t="s">
        <v>1817</v>
      </c>
      <c r="F829" s="111"/>
      <c r="G829" s="110" t="s">
        <v>2073</v>
      </c>
      <c r="H829" s="141">
        <v>75.292537999999993</v>
      </c>
      <c r="I829" s="280"/>
      <c r="J829" s="72">
        <v>148.52000000000001</v>
      </c>
      <c r="K829" s="271">
        <f t="shared" si="39"/>
        <v>11182.44774376</v>
      </c>
      <c r="L829" s="111"/>
      <c r="M829" s="73"/>
      <c r="N829" s="112"/>
      <c r="O829" s="111"/>
      <c r="P829" s="312">
        <v>0</v>
      </c>
      <c r="Q829" s="288">
        <f t="shared" si="40"/>
        <v>0</v>
      </c>
      <c r="R829" s="118">
        <v>0</v>
      </c>
      <c r="S829" s="283">
        <v>2016</v>
      </c>
      <c r="T829" s="288">
        <f t="shared" si="38"/>
        <v>12117</v>
      </c>
    </row>
    <row r="830" spans="2:20">
      <c r="B830" s="386" t="s">
        <v>935</v>
      </c>
      <c r="C830" s="114"/>
      <c r="D830" s="111" t="s">
        <v>1547</v>
      </c>
      <c r="E830" s="111" t="s">
        <v>1817</v>
      </c>
      <c r="F830" s="111"/>
      <c r="G830" s="110" t="s">
        <v>2073</v>
      </c>
      <c r="H830" s="141">
        <v>326.32425499999999</v>
      </c>
      <c r="I830" s="280"/>
      <c r="J830" s="72">
        <v>148.52000000000001</v>
      </c>
      <c r="K830" s="271">
        <f t="shared" si="39"/>
        <v>48465.6783526</v>
      </c>
      <c r="L830" s="111"/>
      <c r="M830" s="73"/>
      <c r="N830" s="112"/>
      <c r="O830" s="111"/>
      <c r="P830" s="312">
        <v>0</v>
      </c>
      <c r="Q830" s="288">
        <f t="shared" si="40"/>
        <v>0</v>
      </c>
      <c r="R830" s="118">
        <v>0</v>
      </c>
      <c r="S830" s="283">
        <v>2016</v>
      </c>
      <c r="T830" s="288">
        <f t="shared" si="38"/>
        <v>52517</v>
      </c>
    </row>
    <row r="831" spans="2:20">
      <c r="B831" s="386" t="s">
        <v>936</v>
      </c>
      <c r="C831" s="114"/>
      <c r="D831" s="111" t="s">
        <v>1547</v>
      </c>
      <c r="E831" s="111" t="s">
        <v>1817</v>
      </c>
      <c r="F831" s="111"/>
      <c r="G831" s="110" t="s">
        <v>2073</v>
      </c>
      <c r="H831" s="141">
        <v>177.46664999999999</v>
      </c>
      <c r="I831" s="280"/>
      <c r="J831" s="72">
        <v>148.52000000000001</v>
      </c>
      <c r="K831" s="271">
        <f t="shared" si="39"/>
        <v>26357.346858000001</v>
      </c>
      <c r="L831" s="111"/>
      <c r="M831" s="73"/>
      <c r="N831" s="112"/>
      <c r="O831" s="111"/>
      <c r="P831" s="312">
        <v>0</v>
      </c>
      <c r="Q831" s="288">
        <f t="shared" si="40"/>
        <v>0</v>
      </c>
      <c r="R831" s="118">
        <v>0</v>
      </c>
      <c r="S831" s="283">
        <v>2016</v>
      </c>
      <c r="T831" s="288">
        <f t="shared" si="38"/>
        <v>28561</v>
      </c>
    </row>
    <row r="832" spans="2:20">
      <c r="B832" s="386" t="s">
        <v>937</v>
      </c>
      <c r="C832" s="114"/>
      <c r="D832" s="111" t="s">
        <v>1547</v>
      </c>
      <c r="E832" s="111" t="s">
        <v>1818</v>
      </c>
      <c r="F832" s="111"/>
      <c r="G832" s="110" t="s">
        <v>2073</v>
      </c>
      <c r="H832" s="141">
        <v>107.291302</v>
      </c>
      <c r="I832" s="280"/>
      <c r="J832" s="72">
        <v>148.52000000000001</v>
      </c>
      <c r="K832" s="271">
        <f t="shared" si="39"/>
        <v>15934.904173040002</v>
      </c>
      <c r="L832" s="111"/>
      <c r="M832" s="73"/>
      <c r="N832" s="112"/>
      <c r="O832" s="111"/>
      <c r="P832" s="312">
        <v>0</v>
      </c>
      <c r="Q832" s="288">
        <f t="shared" si="40"/>
        <v>0</v>
      </c>
      <c r="R832" s="118">
        <v>0</v>
      </c>
      <c r="S832" s="283">
        <v>2016</v>
      </c>
      <c r="T832" s="288">
        <f t="shared" si="38"/>
        <v>17267</v>
      </c>
    </row>
    <row r="833" spans="2:20">
      <c r="B833" s="386" t="s">
        <v>938</v>
      </c>
      <c r="C833" s="114"/>
      <c r="D833" s="111" t="s">
        <v>1547</v>
      </c>
      <c r="E833" s="111" t="s">
        <v>1818</v>
      </c>
      <c r="F833" s="111"/>
      <c r="G833" s="110" t="s">
        <v>2073</v>
      </c>
      <c r="H833" s="141">
        <v>317.94815699999998</v>
      </c>
      <c r="I833" s="280"/>
      <c r="J833" s="72">
        <v>148.52000000000001</v>
      </c>
      <c r="K833" s="271">
        <f t="shared" si="39"/>
        <v>47221.660277640003</v>
      </c>
      <c r="L833" s="111"/>
      <c r="M833" s="73"/>
      <c r="N833" s="112"/>
      <c r="O833" s="111"/>
      <c r="P833" s="312">
        <v>0</v>
      </c>
      <c r="Q833" s="288">
        <f t="shared" si="40"/>
        <v>0</v>
      </c>
      <c r="R833" s="118">
        <v>0</v>
      </c>
      <c r="S833" s="283">
        <v>2016</v>
      </c>
      <c r="T833" s="288">
        <f t="shared" si="38"/>
        <v>51169</v>
      </c>
    </row>
    <row r="834" spans="2:20">
      <c r="B834" s="386" t="s">
        <v>939</v>
      </c>
      <c r="C834" s="114"/>
      <c r="D834" s="111" t="s">
        <v>1547</v>
      </c>
      <c r="E834" s="111" t="s">
        <v>1818</v>
      </c>
      <c r="F834" s="111"/>
      <c r="G834" s="110" t="s">
        <v>2073</v>
      </c>
      <c r="H834" s="141">
        <v>68.928972000000002</v>
      </c>
      <c r="I834" s="280"/>
      <c r="J834" s="72">
        <v>148.52000000000001</v>
      </c>
      <c r="K834" s="271">
        <f t="shared" si="39"/>
        <v>10237.330921440001</v>
      </c>
      <c r="L834" s="111"/>
      <c r="M834" s="73"/>
      <c r="N834" s="112"/>
      <c r="O834" s="111"/>
      <c r="P834" s="312">
        <v>0</v>
      </c>
      <c r="Q834" s="288">
        <f t="shared" si="40"/>
        <v>0</v>
      </c>
      <c r="R834" s="118">
        <v>0</v>
      </c>
      <c r="S834" s="283">
        <v>2016</v>
      </c>
      <c r="T834" s="288">
        <f t="shared" si="38"/>
        <v>11093</v>
      </c>
    </row>
    <row r="835" spans="2:20">
      <c r="B835" s="386" t="s">
        <v>940</v>
      </c>
      <c r="C835" s="114"/>
      <c r="D835" s="111" t="s">
        <v>1547</v>
      </c>
      <c r="E835" s="111" t="s">
        <v>1818</v>
      </c>
      <c r="F835" s="111"/>
      <c r="G835" s="110" t="s">
        <v>2073</v>
      </c>
      <c r="H835" s="141">
        <v>284.57651900000002</v>
      </c>
      <c r="I835" s="280"/>
      <c r="J835" s="72">
        <v>148.52000000000001</v>
      </c>
      <c r="K835" s="271">
        <f t="shared" si="39"/>
        <v>42265.304601880009</v>
      </c>
      <c r="L835" s="111"/>
      <c r="M835" s="73"/>
      <c r="N835" s="112"/>
      <c r="O835" s="111"/>
      <c r="P835" s="312">
        <v>0</v>
      </c>
      <c r="Q835" s="288">
        <f t="shared" si="40"/>
        <v>0</v>
      </c>
      <c r="R835" s="118">
        <v>0</v>
      </c>
      <c r="S835" s="283">
        <v>2016</v>
      </c>
      <c r="T835" s="288">
        <f t="shared" si="38"/>
        <v>45798</v>
      </c>
    </row>
    <row r="836" spans="2:20">
      <c r="B836" s="386" t="s">
        <v>941</v>
      </c>
      <c r="C836" s="114"/>
      <c r="D836" s="111" t="s">
        <v>1547</v>
      </c>
      <c r="E836" s="111" t="s">
        <v>1818</v>
      </c>
      <c r="F836" s="111"/>
      <c r="G836" s="110" t="s">
        <v>2073</v>
      </c>
      <c r="H836" s="141">
        <v>48.864111999999999</v>
      </c>
      <c r="I836" s="280"/>
      <c r="J836" s="72">
        <v>148.52000000000001</v>
      </c>
      <c r="K836" s="271">
        <f t="shared" si="39"/>
        <v>7257.29791424</v>
      </c>
      <c r="L836" s="111"/>
      <c r="M836" s="73"/>
      <c r="N836" s="112"/>
      <c r="O836" s="111"/>
      <c r="P836" s="312">
        <v>0</v>
      </c>
      <c r="Q836" s="288">
        <f t="shared" si="40"/>
        <v>0</v>
      </c>
      <c r="R836" s="118">
        <v>0</v>
      </c>
      <c r="S836" s="283">
        <v>2016</v>
      </c>
      <c r="T836" s="288">
        <f t="shared" si="38"/>
        <v>7864</v>
      </c>
    </row>
    <row r="837" spans="2:20">
      <c r="B837" s="386" t="s">
        <v>942</v>
      </c>
      <c r="C837" s="114"/>
      <c r="D837" s="111" t="s">
        <v>1547</v>
      </c>
      <c r="E837" s="111" t="s">
        <v>1818</v>
      </c>
      <c r="F837" s="111"/>
      <c r="G837" s="110" t="s">
        <v>2073</v>
      </c>
      <c r="H837" s="141">
        <v>43.820388999999999</v>
      </c>
      <c r="I837" s="280"/>
      <c r="J837" s="72">
        <v>148.52000000000001</v>
      </c>
      <c r="K837" s="271">
        <f t="shared" si="39"/>
        <v>6508.2041742800002</v>
      </c>
      <c r="L837" s="111"/>
      <c r="M837" s="73"/>
      <c r="N837" s="112"/>
      <c r="O837" s="111"/>
      <c r="P837" s="312">
        <v>0</v>
      </c>
      <c r="Q837" s="288">
        <f t="shared" si="40"/>
        <v>0</v>
      </c>
      <c r="R837" s="118">
        <v>0</v>
      </c>
      <c r="S837" s="283">
        <v>2016</v>
      </c>
      <c r="T837" s="288">
        <f t="shared" si="38"/>
        <v>7052</v>
      </c>
    </row>
    <row r="838" spans="2:20">
      <c r="B838" s="386" t="s">
        <v>943</v>
      </c>
      <c r="C838" s="114"/>
      <c r="D838" s="111" t="s">
        <v>1547</v>
      </c>
      <c r="E838" s="111" t="s">
        <v>1818</v>
      </c>
      <c r="F838" s="111"/>
      <c r="G838" s="110" t="s">
        <v>2073</v>
      </c>
      <c r="H838" s="141">
        <v>27.51219</v>
      </c>
      <c r="I838" s="280"/>
      <c r="J838" s="72">
        <v>148.52000000000001</v>
      </c>
      <c r="K838" s="271">
        <f t="shared" si="39"/>
        <v>4086.1104588000003</v>
      </c>
      <c r="L838" s="111"/>
      <c r="M838" s="73"/>
      <c r="N838" s="112"/>
      <c r="O838" s="111"/>
      <c r="P838" s="312">
        <v>0</v>
      </c>
      <c r="Q838" s="288">
        <f t="shared" si="40"/>
        <v>0</v>
      </c>
      <c r="R838" s="118">
        <v>0</v>
      </c>
      <c r="S838" s="283">
        <v>2016</v>
      </c>
      <c r="T838" s="288">
        <f t="shared" si="38"/>
        <v>4428</v>
      </c>
    </row>
    <row r="839" spans="2:20">
      <c r="B839" s="386" t="s">
        <v>944</v>
      </c>
      <c r="C839" s="114"/>
      <c r="D839" s="111" t="s">
        <v>1547</v>
      </c>
      <c r="E839" s="111" t="s">
        <v>1818</v>
      </c>
      <c r="F839" s="111"/>
      <c r="G839" s="110" t="s">
        <v>2073</v>
      </c>
      <c r="H839" s="141">
        <v>185.554452</v>
      </c>
      <c r="I839" s="280"/>
      <c r="J839" s="72">
        <v>148.52000000000001</v>
      </c>
      <c r="K839" s="271">
        <f t="shared" si="39"/>
        <v>27558.547211040001</v>
      </c>
      <c r="L839" s="111"/>
      <c r="M839" s="73"/>
      <c r="N839" s="112"/>
      <c r="O839" s="111"/>
      <c r="P839" s="312">
        <v>0</v>
      </c>
      <c r="Q839" s="288">
        <f t="shared" si="40"/>
        <v>0</v>
      </c>
      <c r="R839" s="118">
        <v>0</v>
      </c>
      <c r="S839" s="283">
        <v>2016</v>
      </c>
      <c r="T839" s="288">
        <f t="shared" si="38"/>
        <v>29862</v>
      </c>
    </row>
    <row r="840" spans="2:20">
      <c r="B840" s="386" t="s">
        <v>945</v>
      </c>
      <c r="C840" s="114"/>
      <c r="D840" s="111" t="s">
        <v>1547</v>
      </c>
      <c r="E840" s="111" t="s">
        <v>1818</v>
      </c>
      <c r="F840" s="111"/>
      <c r="G840" s="110" t="s">
        <v>2073</v>
      </c>
      <c r="H840" s="141">
        <v>574.79233199999999</v>
      </c>
      <c r="I840" s="280"/>
      <c r="J840" s="72">
        <v>148.52000000000001</v>
      </c>
      <c r="K840" s="271">
        <f t="shared" si="39"/>
        <v>85368.157148640006</v>
      </c>
      <c r="L840" s="111"/>
      <c r="M840" s="73"/>
      <c r="N840" s="112"/>
      <c r="O840" s="111"/>
      <c r="P840" s="312">
        <v>0</v>
      </c>
      <c r="Q840" s="288">
        <f t="shared" si="40"/>
        <v>0</v>
      </c>
      <c r="R840" s="118">
        <v>0</v>
      </c>
      <c r="S840" s="283">
        <v>2016</v>
      </c>
      <c r="T840" s="288">
        <f t="shared" si="38"/>
        <v>92504</v>
      </c>
    </row>
    <row r="841" spans="2:20">
      <c r="B841" s="386" t="s">
        <v>946</v>
      </c>
      <c r="C841" s="114"/>
      <c r="D841" s="111" t="s">
        <v>1547</v>
      </c>
      <c r="E841" s="111" t="s">
        <v>1819</v>
      </c>
      <c r="F841" s="111"/>
      <c r="G841" s="110" t="s">
        <v>2073</v>
      </c>
      <c r="H841" s="141">
        <v>132.569918</v>
      </c>
      <c r="I841" s="280"/>
      <c r="J841" s="72">
        <v>148.52000000000001</v>
      </c>
      <c r="K841" s="271">
        <f t="shared" si="39"/>
        <v>19689.284221360002</v>
      </c>
      <c r="L841" s="111"/>
      <c r="M841" s="73"/>
      <c r="N841" s="112"/>
      <c r="O841" s="111"/>
      <c r="P841" s="312">
        <v>0</v>
      </c>
      <c r="Q841" s="288">
        <f t="shared" si="40"/>
        <v>0</v>
      </c>
      <c r="R841" s="118">
        <v>0</v>
      </c>
      <c r="S841" s="283">
        <v>2016</v>
      </c>
      <c r="T841" s="288">
        <f t="shared" si="38"/>
        <v>21335</v>
      </c>
    </row>
    <row r="842" spans="2:20">
      <c r="B842" s="386" t="s">
        <v>947</v>
      </c>
      <c r="C842" s="114"/>
      <c r="D842" s="111" t="s">
        <v>1547</v>
      </c>
      <c r="E842" s="111" t="s">
        <v>1819</v>
      </c>
      <c r="F842" s="111"/>
      <c r="G842" s="110" t="s">
        <v>2073</v>
      </c>
      <c r="H842" s="141">
        <v>79.392177000000004</v>
      </c>
      <c r="I842" s="280"/>
      <c r="J842" s="72">
        <v>148.52000000000001</v>
      </c>
      <c r="K842" s="271">
        <f t="shared" si="39"/>
        <v>11791.326128040002</v>
      </c>
      <c r="L842" s="111"/>
      <c r="M842" s="73"/>
      <c r="N842" s="112"/>
      <c r="O842" s="111"/>
      <c r="P842" s="312">
        <v>0</v>
      </c>
      <c r="Q842" s="288">
        <f t="shared" si="40"/>
        <v>0</v>
      </c>
      <c r="R842" s="118">
        <v>0</v>
      </c>
      <c r="S842" s="283">
        <v>2016</v>
      </c>
      <c r="T842" s="288">
        <f t="shared" si="38"/>
        <v>12777</v>
      </c>
    </row>
    <row r="843" spans="2:20">
      <c r="B843" s="386" t="s">
        <v>948</v>
      </c>
      <c r="C843" s="114"/>
      <c r="D843" s="111" t="s">
        <v>1547</v>
      </c>
      <c r="E843" s="111" t="s">
        <v>1820</v>
      </c>
      <c r="F843" s="111"/>
      <c r="G843" s="110" t="s">
        <v>2073</v>
      </c>
      <c r="H843" s="141">
        <v>965.82956799999999</v>
      </c>
      <c r="I843" s="280"/>
      <c r="J843" s="72">
        <v>148.52000000000001</v>
      </c>
      <c r="K843" s="271">
        <f t="shared" si="39"/>
        <v>143445.00743936002</v>
      </c>
      <c r="L843" s="111"/>
      <c r="M843" s="73"/>
      <c r="N843" s="112"/>
      <c r="O843" s="111"/>
      <c r="P843" s="312">
        <v>0</v>
      </c>
      <c r="Q843" s="288">
        <f t="shared" si="40"/>
        <v>0</v>
      </c>
      <c r="R843" s="118">
        <v>0</v>
      </c>
      <c r="S843" s="283">
        <v>2016</v>
      </c>
      <c r="T843" s="288">
        <f t="shared" si="38"/>
        <v>155436</v>
      </c>
    </row>
    <row r="844" spans="2:20">
      <c r="B844" s="386" t="s">
        <v>949</v>
      </c>
      <c r="C844" s="114"/>
      <c r="D844" s="111" t="s">
        <v>1546</v>
      </c>
      <c r="E844" s="111" t="s">
        <v>1821</v>
      </c>
      <c r="F844" s="111"/>
      <c r="G844" s="110" t="s">
        <v>2073</v>
      </c>
      <c r="H844" s="141">
        <v>2306.2796159999998</v>
      </c>
      <c r="I844" s="280"/>
      <c r="J844" s="72">
        <v>148.52000000000001</v>
      </c>
      <c r="K844" s="271">
        <f t="shared" si="39"/>
        <v>342528.64856831997</v>
      </c>
      <c r="L844" s="111"/>
      <c r="M844" s="73"/>
      <c r="N844" s="112"/>
      <c r="O844" s="111"/>
      <c r="P844" s="312">
        <v>0</v>
      </c>
      <c r="Q844" s="288">
        <f t="shared" si="40"/>
        <v>0</v>
      </c>
      <c r="R844" s="118">
        <v>0</v>
      </c>
      <c r="S844" s="283">
        <v>2016</v>
      </c>
      <c r="T844" s="288">
        <f t="shared" si="38"/>
        <v>371160</v>
      </c>
    </row>
    <row r="845" spans="2:20">
      <c r="B845" s="386" t="s">
        <v>950</v>
      </c>
      <c r="C845" s="114"/>
      <c r="D845" s="111" t="s">
        <v>1547</v>
      </c>
      <c r="E845" s="111" t="s">
        <v>1822</v>
      </c>
      <c r="F845" s="111"/>
      <c r="G845" s="110" t="s">
        <v>2073</v>
      </c>
      <c r="H845" s="141">
        <v>15.274138000000001</v>
      </c>
      <c r="I845" s="280"/>
      <c r="J845" s="72">
        <v>148.52000000000001</v>
      </c>
      <c r="K845" s="271">
        <f t="shared" si="39"/>
        <v>2268.5149757600002</v>
      </c>
      <c r="L845" s="111"/>
      <c r="M845" s="73"/>
      <c r="N845" s="112"/>
      <c r="O845" s="111"/>
      <c r="P845" s="312">
        <v>0</v>
      </c>
      <c r="Q845" s="288">
        <f t="shared" si="40"/>
        <v>0</v>
      </c>
      <c r="R845" s="118">
        <v>0</v>
      </c>
      <c r="S845" s="283">
        <v>2016</v>
      </c>
      <c r="T845" s="288">
        <f t="shared" ref="T845:T908" si="41">IFERROR(ROUND((K845*(1+PPI_Existing)^(YEAR-S845))+(R845*((1+LandInd_Existing)^(YEAR-S845))),0),0)</f>
        <v>2458</v>
      </c>
    </row>
    <row r="846" spans="2:20">
      <c r="B846" s="386" t="s">
        <v>951</v>
      </c>
      <c r="C846" s="114"/>
      <c r="D846" s="111" t="s">
        <v>1547</v>
      </c>
      <c r="E846" s="111" t="s">
        <v>1822</v>
      </c>
      <c r="F846" s="111"/>
      <c r="G846" s="110" t="s">
        <v>2073</v>
      </c>
      <c r="H846" s="141">
        <v>88.294920000000005</v>
      </c>
      <c r="I846" s="280"/>
      <c r="J846" s="72">
        <v>148.52000000000001</v>
      </c>
      <c r="K846" s="271">
        <f t="shared" si="39"/>
        <v>13113.561518400002</v>
      </c>
      <c r="L846" s="111"/>
      <c r="M846" s="73"/>
      <c r="N846" s="112"/>
      <c r="O846" s="111"/>
      <c r="P846" s="312">
        <v>0</v>
      </c>
      <c r="Q846" s="288">
        <f t="shared" si="40"/>
        <v>0</v>
      </c>
      <c r="R846" s="118">
        <v>0</v>
      </c>
      <c r="S846" s="283">
        <v>2016</v>
      </c>
      <c r="T846" s="288">
        <f t="shared" si="41"/>
        <v>14210</v>
      </c>
    </row>
    <row r="847" spans="2:20">
      <c r="B847" s="386" t="s">
        <v>952</v>
      </c>
      <c r="C847" s="114"/>
      <c r="D847" s="111" t="s">
        <v>1547</v>
      </c>
      <c r="E847" s="111" t="s">
        <v>1823</v>
      </c>
      <c r="F847" s="111"/>
      <c r="G847" s="110" t="s">
        <v>2073</v>
      </c>
      <c r="H847" s="141">
        <v>1908.242115</v>
      </c>
      <c r="I847" s="280"/>
      <c r="J847" s="72">
        <v>148.52000000000001</v>
      </c>
      <c r="K847" s="271">
        <f t="shared" si="39"/>
        <v>283412.11891980004</v>
      </c>
      <c r="L847" s="111"/>
      <c r="M847" s="73"/>
      <c r="N847" s="112"/>
      <c r="O847" s="111"/>
      <c r="P847" s="312">
        <v>0</v>
      </c>
      <c r="Q847" s="288">
        <f t="shared" si="40"/>
        <v>0</v>
      </c>
      <c r="R847" s="118">
        <v>0</v>
      </c>
      <c r="S847" s="283">
        <v>2016</v>
      </c>
      <c r="T847" s="288">
        <f t="shared" si="41"/>
        <v>307102</v>
      </c>
    </row>
    <row r="848" spans="2:20">
      <c r="B848" s="386" t="s">
        <v>953</v>
      </c>
      <c r="C848" s="114"/>
      <c r="D848" s="111" t="s">
        <v>1546</v>
      </c>
      <c r="E848" s="111" t="s">
        <v>1817</v>
      </c>
      <c r="F848" s="111"/>
      <c r="G848" s="110" t="s">
        <v>2073</v>
      </c>
      <c r="H848" s="141">
        <v>1098.676776</v>
      </c>
      <c r="I848" s="280"/>
      <c r="J848" s="72">
        <v>148.52000000000001</v>
      </c>
      <c r="K848" s="271">
        <f t="shared" si="39"/>
        <v>163175.47477152001</v>
      </c>
      <c r="L848" s="111"/>
      <c r="M848" s="73"/>
      <c r="N848" s="112"/>
      <c r="O848" s="111"/>
      <c r="P848" s="312">
        <v>0</v>
      </c>
      <c r="Q848" s="288">
        <f t="shared" si="40"/>
        <v>0</v>
      </c>
      <c r="R848" s="118">
        <v>0</v>
      </c>
      <c r="S848" s="283">
        <v>2016</v>
      </c>
      <c r="T848" s="288">
        <f t="shared" si="41"/>
        <v>176815</v>
      </c>
    </row>
    <row r="849" spans="2:20">
      <c r="B849" s="386" t="s">
        <v>954</v>
      </c>
      <c r="C849" s="114"/>
      <c r="D849" s="111" t="s">
        <v>1546</v>
      </c>
      <c r="E849" s="111" t="s">
        <v>1824</v>
      </c>
      <c r="F849" s="111"/>
      <c r="G849" s="110" t="s">
        <v>2073</v>
      </c>
      <c r="H849" s="141">
        <v>19.493205</v>
      </c>
      <c r="I849" s="280"/>
      <c r="J849" s="72">
        <v>148.52000000000001</v>
      </c>
      <c r="K849" s="271">
        <f t="shared" si="39"/>
        <v>2895.1308066000001</v>
      </c>
      <c r="L849" s="111"/>
      <c r="M849" s="73"/>
      <c r="N849" s="112"/>
      <c r="O849" s="111"/>
      <c r="P849" s="312">
        <v>0</v>
      </c>
      <c r="Q849" s="288">
        <f t="shared" si="40"/>
        <v>0</v>
      </c>
      <c r="R849" s="118">
        <v>0</v>
      </c>
      <c r="S849" s="283">
        <v>2016</v>
      </c>
      <c r="T849" s="288">
        <f t="shared" si="41"/>
        <v>3137</v>
      </c>
    </row>
    <row r="850" spans="2:20">
      <c r="B850" s="386" t="s">
        <v>955</v>
      </c>
      <c r="C850" s="114"/>
      <c r="D850" s="111" t="s">
        <v>1546</v>
      </c>
      <c r="E850" s="111" t="s">
        <v>1824</v>
      </c>
      <c r="F850" s="111"/>
      <c r="G850" s="110" t="s">
        <v>2073</v>
      </c>
      <c r="H850" s="141">
        <v>8.8300239999999999</v>
      </c>
      <c r="I850" s="280"/>
      <c r="J850" s="72">
        <v>148.52000000000001</v>
      </c>
      <c r="K850" s="271">
        <f t="shared" si="39"/>
        <v>1311.4351644800001</v>
      </c>
      <c r="L850" s="111"/>
      <c r="M850" s="73"/>
      <c r="N850" s="112"/>
      <c r="O850" s="111"/>
      <c r="P850" s="312">
        <v>0</v>
      </c>
      <c r="Q850" s="288">
        <f t="shared" si="40"/>
        <v>0</v>
      </c>
      <c r="R850" s="118">
        <v>0</v>
      </c>
      <c r="S850" s="283">
        <v>2016</v>
      </c>
      <c r="T850" s="288">
        <f t="shared" si="41"/>
        <v>1421</v>
      </c>
    </row>
    <row r="851" spans="2:20">
      <c r="B851" s="386" t="s">
        <v>956</v>
      </c>
      <c r="C851" s="114"/>
      <c r="D851" s="111" t="s">
        <v>1547</v>
      </c>
      <c r="E851" s="111" t="s">
        <v>1824</v>
      </c>
      <c r="F851" s="111"/>
      <c r="G851" s="110" t="s">
        <v>2073</v>
      </c>
      <c r="H851" s="141">
        <v>1687.2016040000001</v>
      </c>
      <c r="I851" s="280"/>
      <c r="J851" s="72">
        <v>148.52000000000001</v>
      </c>
      <c r="K851" s="271">
        <f t="shared" si="39"/>
        <v>250583.18222608004</v>
      </c>
      <c r="L851" s="111"/>
      <c r="M851" s="73"/>
      <c r="N851" s="112"/>
      <c r="O851" s="111"/>
      <c r="P851" s="312">
        <v>0</v>
      </c>
      <c r="Q851" s="288">
        <f t="shared" si="40"/>
        <v>0</v>
      </c>
      <c r="R851" s="118">
        <v>0</v>
      </c>
      <c r="S851" s="283">
        <v>2016</v>
      </c>
      <c r="T851" s="288">
        <f t="shared" si="41"/>
        <v>271529</v>
      </c>
    </row>
    <row r="852" spans="2:20">
      <c r="B852" s="386" t="s">
        <v>957</v>
      </c>
      <c r="C852" s="114"/>
      <c r="D852" s="111" t="s">
        <v>1547</v>
      </c>
      <c r="E852" s="111" t="s">
        <v>1825</v>
      </c>
      <c r="F852" s="111"/>
      <c r="G852" s="110" t="s">
        <v>2073</v>
      </c>
      <c r="H852" s="141">
        <v>1332.7500769999999</v>
      </c>
      <c r="I852" s="280"/>
      <c r="J852" s="72">
        <v>148.52000000000001</v>
      </c>
      <c r="K852" s="271">
        <f t="shared" si="39"/>
        <v>197940.04143603999</v>
      </c>
      <c r="L852" s="111"/>
      <c r="M852" s="73"/>
      <c r="N852" s="112"/>
      <c r="O852" s="111"/>
      <c r="P852" s="312">
        <v>0</v>
      </c>
      <c r="Q852" s="288">
        <f t="shared" si="40"/>
        <v>0</v>
      </c>
      <c r="R852" s="118">
        <v>0</v>
      </c>
      <c r="S852" s="283">
        <v>2016</v>
      </c>
      <c r="T852" s="288">
        <f t="shared" si="41"/>
        <v>214486</v>
      </c>
    </row>
    <row r="853" spans="2:20">
      <c r="B853" s="386" t="s">
        <v>958</v>
      </c>
      <c r="C853" s="114"/>
      <c r="D853" s="111" t="s">
        <v>1547</v>
      </c>
      <c r="E853" s="111" t="s">
        <v>1826</v>
      </c>
      <c r="F853" s="111"/>
      <c r="G853" s="110" t="s">
        <v>2073</v>
      </c>
      <c r="H853" s="141">
        <v>773.89387299999999</v>
      </c>
      <c r="I853" s="280"/>
      <c r="J853" s="72">
        <v>148.52000000000001</v>
      </c>
      <c r="K853" s="271">
        <f t="shared" si="39"/>
        <v>114938.71801796001</v>
      </c>
      <c r="L853" s="111"/>
      <c r="M853" s="73"/>
      <c r="N853" s="112"/>
      <c r="O853" s="111"/>
      <c r="P853" s="312">
        <v>0</v>
      </c>
      <c r="Q853" s="288">
        <f t="shared" si="40"/>
        <v>0</v>
      </c>
      <c r="R853" s="118">
        <v>0</v>
      </c>
      <c r="S853" s="283">
        <v>2016</v>
      </c>
      <c r="T853" s="288">
        <f t="shared" si="41"/>
        <v>124546</v>
      </c>
    </row>
    <row r="854" spans="2:20">
      <c r="B854" s="386" t="s">
        <v>959</v>
      </c>
      <c r="C854" s="114"/>
      <c r="D854" s="111" t="s">
        <v>1547</v>
      </c>
      <c r="E854" s="111" t="s">
        <v>1827</v>
      </c>
      <c r="F854" s="111"/>
      <c r="G854" s="110" t="s">
        <v>2073</v>
      </c>
      <c r="H854" s="141">
        <v>404.89008000000001</v>
      </c>
      <c r="I854" s="280"/>
      <c r="J854" s="72">
        <v>148.52000000000001</v>
      </c>
      <c r="K854" s="271">
        <f t="shared" si="39"/>
        <v>60134.274681600007</v>
      </c>
      <c r="L854" s="111"/>
      <c r="M854" s="73"/>
      <c r="N854" s="112"/>
      <c r="O854" s="111"/>
      <c r="P854" s="312">
        <v>0</v>
      </c>
      <c r="Q854" s="288">
        <f t="shared" si="40"/>
        <v>0</v>
      </c>
      <c r="R854" s="118">
        <v>0</v>
      </c>
      <c r="S854" s="283">
        <v>2016</v>
      </c>
      <c r="T854" s="288">
        <f t="shared" si="41"/>
        <v>65161</v>
      </c>
    </row>
    <row r="855" spans="2:20">
      <c r="B855" s="386" t="s">
        <v>960</v>
      </c>
      <c r="C855" s="114"/>
      <c r="D855" s="111" t="s">
        <v>1547</v>
      </c>
      <c r="E855" s="111" t="s">
        <v>1828</v>
      </c>
      <c r="F855" s="111"/>
      <c r="G855" s="110" t="s">
        <v>2073</v>
      </c>
      <c r="H855" s="141">
        <v>1020.027276</v>
      </c>
      <c r="I855" s="280"/>
      <c r="J855" s="72">
        <v>148.52000000000001</v>
      </c>
      <c r="K855" s="271">
        <f t="shared" si="39"/>
        <v>151494.45103152</v>
      </c>
      <c r="L855" s="111"/>
      <c r="M855" s="73"/>
      <c r="N855" s="112"/>
      <c r="O855" s="111"/>
      <c r="P855" s="312">
        <v>0.65072929000000002</v>
      </c>
      <c r="Q855" s="288">
        <f t="shared" si="40"/>
        <v>15.000000015367373</v>
      </c>
      <c r="R855" s="118">
        <v>9.7609393600000001</v>
      </c>
      <c r="S855" s="283">
        <v>2016</v>
      </c>
      <c r="T855" s="288">
        <f t="shared" si="41"/>
        <v>164168</v>
      </c>
    </row>
    <row r="856" spans="2:20">
      <c r="B856" s="386" t="s">
        <v>961</v>
      </c>
      <c r="C856" s="114"/>
      <c r="D856" s="111" t="s">
        <v>1547</v>
      </c>
      <c r="E856" s="111" t="s">
        <v>1829</v>
      </c>
      <c r="F856" s="111"/>
      <c r="G856" s="110" t="s">
        <v>2073</v>
      </c>
      <c r="H856" s="141">
        <v>153.23193599999999</v>
      </c>
      <c r="I856" s="280"/>
      <c r="J856" s="72">
        <v>148.52000000000001</v>
      </c>
      <c r="K856" s="271">
        <f t="shared" si="39"/>
        <v>22758.007134719999</v>
      </c>
      <c r="L856" s="111"/>
      <c r="M856" s="73"/>
      <c r="N856" s="112"/>
      <c r="O856" s="111"/>
      <c r="P856" s="312">
        <v>0</v>
      </c>
      <c r="Q856" s="288">
        <f t="shared" si="40"/>
        <v>0</v>
      </c>
      <c r="R856" s="118">
        <v>0</v>
      </c>
      <c r="S856" s="283">
        <v>2016</v>
      </c>
      <c r="T856" s="288">
        <f t="shared" si="41"/>
        <v>24660</v>
      </c>
    </row>
    <row r="857" spans="2:20">
      <c r="B857" s="386" t="s">
        <v>962</v>
      </c>
      <c r="C857" s="114"/>
      <c r="D857" s="111" t="s">
        <v>1547</v>
      </c>
      <c r="E857" s="111" t="s">
        <v>1830</v>
      </c>
      <c r="F857" s="111"/>
      <c r="G857" s="110" t="s">
        <v>2073</v>
      </c>
      <c r="H857" s="141">
        <v>903.261887</v>
      </c>
      <c r="I857" s="280"/>
      <c r="J857" s="72">
        <v>148.52000000000001</v>
      </c>
      <c r="K857" s="271">
        <f t="shared" si="39"/>
        <v>134152.45545724002</v>
      </c>
      <c r="L857" s="111"/>
      <c r="M857" s="73"/>
      <c r="N857" s="112"/>
      <c r="O857" s="111"/>
      <c r="P857" s="312">
        <v>0</v>
      </c>
      <c r="Q857" s="288">
        <f t="shared" si="40"/>
        <v>0</v>
      </c>
      <c r="R857" s="118">
        <v>0</v>
      </c>
      <c r="S857" s="283">
        <v>2016</v>
      </c>
      <c r="T857" s="288">
        <f t="shared" si="41"/>
        <v>145366</v>
      </c>
    </row>
    <row r="858" spans="2:20">
      <c r="B858" s="386" t="s">
        <v>963</v>
      </c>
      <c r="C858" s="114"/>
      <c r="D858" s="111" t="s">
        <v>1547</v>
      </c>
      <c r="E858" s="111" t="s">
        <v>1831</v>
      </c>
      <c r="F858" s="111"/>
      <c r="G858" s="110" t="s">
        <v>2073</v>
      </c>
      <c r="H858" s="141">
        <v>280.79852</v>
      </c>
      <c r="I858" s="280"/>
      <c r="J858" s="72">
        <v>148.52000000000001</v>
      </c>
      <c r="K858" s="271">
        <f t="shared" si="39"/>
        <v>41704.196190400005</v>
      </c>
      <c r="L858" s="111"/>
      <c r="M858" s="73"/>
      <c r="N858" s="112"/>
      <c r="O858" s="111"/>
      <c r="P858" s="312">
        <v>0</v>
      </c>
      <c r="Q858" s="288">
        <f t="shared" si="40"/>
        <v>0</v>
      </c>
      <c r="R858" s="118">
        <v>0</v>
      </c>
      <c r="S858" s="283">
        <v>2016</v>
      </c>
      <c r="T858" s="288">
        <f t="shared" si="41"/>
        <v>45190</v>
      </c>
    </row>
    <row r="859" spans="2:20">
      <c r="B859" s="386" t="s">
        <v>964</v>
      </c>
      <c r="C859" s="114"/>
      <c r="D859" s="111" t="s">
        <v>1547</v>
      </c>
      <c r="E859" s="111" t="s">
        <v>1832</v>
      </c>
      <c r="F859" s="111"/>
      <c r="G859" s="110" t="s">
        <v>2073</v>
      </c>
      <c r="H859" s="141">
        <v>128.45341999999999</v>
      </c>
      <c r="I859" s="280"/>
      <c r="J859" s="72">
        <v>148.52000000000001</v>
      </c>
      <c r="K859" s="271">
        <f t="shared" si="39"/>
        <v>19077.901938400002</v>
      </c>
      <c r="L859" s="111"/>
      <c r="M859" s="73"/>
      <c r="N859" s="112"/>
      <c r="O859" s="111"/>
      <c r="P859" s="312">
        <v>6.60322677</v>
      </c>
      <c r="Q859" s="288">
        <f t="shared" si="40"/>
        <v>15.000000007572057</v>
      </c>
      <c r="R859" s="118">
        <v>99.048401600000005</v>
      </c>
      <c r="S859" s="283">
        <v>2016</v>
      </c>
      <c r="T859" s="288">
        <f t="shared" si="41"/>
        <v>20780</v>
      </c>
    </row>
    <row r="860" spans="2:20">
      <c r="B860" s="386" t="s">
        <v>965</v>
      </c>
      <c r="C860" s="114"/>
      <c r="D860" s="111" t="s">
        <v>1547</v>
      </c>
      <c r="E860" s="111" t="s">
        <v>1833</v>
      </c>
      <c r="F860" s="111"/>
      <c r="G860" s="110" t="s">
        <v>2073</v>
      </c>
      <c r="H860" s="141">
        <v>1043.944133</v>
      </c>
      <c r="I860" s="280"/>
      <c r="J860" s="72">
        <v>148.52000000000001</v>
      </c>
      <c r="K860" s="271">
        <f t="shared" si="39"/>
        <v>155046.58263316</v>
      </c>
      <c r="L860" s="111"/>
      <c r="M860" s="73"/>
      <c r="N860" s="112"/>
      <c r="O860" s="111"/>
      <c r="P860" s="312">
        <v>0</v>
      </c>
      <c r="Q860" s="288">
        <f t="shared" si="40"/>
        <v>0</v>
      </c>
      <c r="R860" s="118">
        <v>0</v>
      </c>
      <c r="S860" s="283">
        <v>2016</v>
      </c>
      <c r="T860" s="288">
        <f t="shared" si="41"/>
        <v>168007</v>
      </c>
    </row>
    <row r="861" spans="2:20">
      <c r="B861" s="386" t="s">
        <v>966</v>
      </c>
      <c r="C861" s="114"/>
      <c r="D861" s="111" t="s">
        <v>1547</v>
      </c>
      <c r="E861" s="111" t="s">
        <v>1834</v>
      </c>
      <c r="F861" s="111"/>
      <c r="G861" s="110" t="s">
        <v>2073</v>
      </c>
      <c r="H861" s="141">
        <v>524.30285600000002</v>
      </c>
      <c r="I861" s="280"/>
      <c r="J861" s="72">
        <v>148.52000000000001</v>
      </c>
      <c r="K861" s="271">
        <f t="shared" si="39"/>
        <v>77869.460173120009</v>
      </c>
      <c r="L861" s="111"/>
      <c r="M861" s="73"/>
      <c r="N861" s="112"/>
      <c r="O861" s="111"/>
      <c r="P861" s="312">
        <v>0</v>
      </c>
      <c r="Q861" s="288">
        <f t="shared" si="40"/>
        <v>0</v>
      </c>
      <c r="R861" s="118">
        <v>0</v>
      </c>
      <c r="S861" s="283">
        <v>2016</v>
      </c>
      <c r="T861" s="288">
        <f t="shared" si="41"/>
        <v>84379</v>
      </c>
    </row>
    <row r="862" spans="2:20">
      <c r="B862" s="386" t="s">
        <v>967</v>
      </c>
      <c r="C862" s="114"/>
      <c r="D862" s="111" t="s">
        <v>1547</v>
      </c>
      <c r="E862" s="111" t="s">
        <v>1836</v>
      </c>
      <c r="F862" s="111"/>
      <c r="G862" s="110" t="s">
        <v>2073</v>
      </c>
      <c r="H862" s="141">
        <v>178.48470499999999</v>
      </c>
      <c r="I862" s="280"/>
      <c r="J862" s="72">
        <v>148.52000000000001</v>
      </c>
      <c r="K862" s="271">
        <f t="shared" si="39"/>
        <v>26508.5483866</v>
      </c>
      <c r="L862" s="111"/>
      <c r="M862" s="73"/>
      <c r="N862" s="112"/>
      <c r="O862" s="111"/>
      <c r="P862" s="312">
        <v>0</v>
      </c>
      <c r="Q862" s="288">
        <f t="shared" si="40"/>
        <v>0</v>
      </c>
      <c r="R862" s="118">
        <v>0</v>
      </c>
      <c r="S862" s="283">
        <v>2016</v>
      </c>
      <c r="T862" s="288">
        <f t="shared" si="41"/>
        <v>28724</v>
      </c>
    </row>
    <row r="863" spans="2:20">
      <c r="B863" s="386" t="s">
        <v>968</v>
      </c>
      <c r="C863" s="114"/>
      <c r="D863" s="111" t="s">
        <v>1547</v>
      </c>
      <c r="E863" s="111" t="s">
        <v>1576</v>
      </c>
      <c r="F863" s="111"/>
      <c r="G863" s="110" t="s">
        <v>2073</v>
      </c>
      <c r="H863" s="141">
        <v>538.12559499999998</v>
      </c>
      <c r="I863" s="280"/>
      <c r="J863" s="72">
        <v>148.52000000000001</v>
      </c>
      <c r="K863" s="271">
        <f t="shared" si="39"/>
        <v>79922.413369400005</v>
      </c>
      <c r="L863" s="111"/>
      <c r="M863" s="73"/>
      <c r="N863" s="112"/>
      <c r="O863" s="111"/>
      <c r="P863" s="312">
        <v>0</v>
      </c>
      <c r="Q863" s="288">
        <f t="shared" si="40"/>
        <v>0</v>
      </c>
      <c r="R863" s="118">
        <v>0</v>
      </c>
      <c r="S863" s="283">
        <v>2016</v>
      </c>
      <c r="T863" s="288">
        <f t="shared" si="41"/>
        <v>86603</v>
      </c>
    </row>
    <row r="864" spans="2:20">
      <c r="B864" s="386" t="s">
        <v>969</v>
      </c>
      <c r="C864" s="114"/>
      <c r="D864" s="111" t="s">
        <v>1547</v>
      </c>
      <c r="E864" s="111" t="s">
        <v>1837</v>
      </c>
      <c r="F864" s="111"/>
      <c r="G864" s="110" t="s">
        <v>2073</v>
      </c>
      <c r="H864" s="141">
        <v>564.78839600000003</v>
      </c>
      <c r="I864" s="280"/>
      <c r="J864" s="72">
        <v>148.52000000000001</v>
      </c>
      <c r="K864" s="271">
        <f t="shared" si="39"/>
        <v>83882.372573920016</v>
      </c>
      <c r="L864" s="111"/>
      <c r="M864" s="73"/>
      <c r="N864" s="112"/>
      <c r="O864" s="111"/>
      <c r="P864" s="312">
        <v>0</v>
      </c>
      <c r="Q864" s="288">
        <f t="shared" si="40"/>
        <v>0</v>
      </c>
      <c r="R864" s="118">
        <v>0</v>
      </c>
      <c r="S864" s="283">
        <v>2016</v>
      </c>
      <c r="T864" s="288">
        <f t="shared" si="41"/>
        <v>90894</v>
      </c>
    </row>
    <row r="865" spans="2:20">
      <c r="B865" s="386" t="s">
        <v>970</v>
      </c>
      <c r="C865" s="114"/>
      <c r="D865" s="111" t="s">
        <v>1546</v>
      </c>
      <c r="E865" s="111" t="s">
        <v>1838</v>
      </c>
      <c r="F865" s="111"/>
      <c r="G865" s="110" t="s">
        <v>2073</v>
      </c>
      <c r="H865" s="141">
        <v>15.056404000000001</v>
      </c>
      <c r="I865" s="280"/>
      <c r="J865" s="72">
        <v>148.52000000000001</v>
      </c>
      <c r="K865" s="271">
        <f t="shared" si="39"/>
        <v>2236.1771220800001</v>
      </c>
      <c r="L865" s="111"/>
      <c r="M865" s="73"/>
      <c r="N865" s="112"/>
      <c r="O865" s="111"/>
      <c r="P865" s="312">
        <v>0</v>
      </c>
      <c r="Q865" s="288">
        <f t="shared" si="40"/>
        <v>0</v>
      </c>
      <c r="R865" s="118">
        <v>0</v>
      </c>
      <c r="S865" s="283">
        <v>2016</v>
      </c>
      <c r="T865" s="288">
        <f t="shared" si="41"/>
        <v>2423</v>
      </c>
    </row>
    <row r="866" spans="2:20">
      <c r="B866" s="386" t="s">
        <v>971</v>
      </c>
      <c r="C866" s="114"/>
      <c r="D866" s="111" t="s">
        <v>1546</v>
      </c>
      <c r="E866" s="111" t="s">
        <v>1838</v>
      </c>
      <c r="F866" s="111"/>
      <c r="G866" s="110" t="s">
        <v>2073</v>
      </c>
      <c r="H866" s="141">
        <v>516.07178799999997</v>
      </c>
      <c r="I866" s="280"/>
      <c r="J866" s="72">
        <v>148.52000000000001</v>
      </c>
      <c r="K866" s="271">
        <f t="shared" si="39"/>
        <v>76646.981953759998</v>
      </c>
      <c r="L866" s="111"/>
      <c r="M866" s="73"/>
      <c r="N866" s="112"/>
      <c r="O866" s="111"/>
      <c r="P866" s="312">
        <v>0</v>
      </c>
      <c r="Q866" s="288">
        <f t="shared" si="40"/>
        <v>0</v>
      </c>
      <c r="R866" s="118">
        <v>0</v>
      </c>
      <c r="S866" s="283">
        <v>2016</v>
      </c>
      <c r="T866" s="288">
        <f t="shared" si="41"/>
        <v>83054</v>
      </c>
    </row>
    <row r="867" spans="2:20">
      <c r="B867" s="386" t="s">
        <v>972</v>
      </c>
      <c r="C867" s="114"/>
      <c r="D867" s="111" t="s">
        <v>1546</v>
      </c>
      <c r="E867" s="111" t="s">
        <v>1838</v>
      </c>
      <c r="F867" s="111"/>
      <c r="G867" s="110" t="s">
        <v>2073</v>
      </c>
      <c r="H867" s="141">
        <v>56.516773000000001</v>
      </c>
      <c r="I867" s="280"/>
      <c r="J867" s="72">
        <v>148.52000000000001</v>
      </c>
      <c r="K867" s="271">
        <f t="shared" si="39"/>
        <v>8393.8711259600004</v>
      </c>
      <c r="L867" s="111"/>
      <c r="M867" s="73"/>
      <c r="N867" s="112"/>
      <c r="O867" s="111"/>
      <c r="P867" s="312">
        <v>0</v>
      </c>
      <c r="Q867" s="288">
        <f t="shared" si="40"/>
        <v>0</v>
      </c>
      <c r="R867" s="118">
        <v>0</v>
      </c>
      <c r="S867" s="283">
        <v>2016</v>
      </c>
      <c r="T867" s="288">
        <f t="shared" si="41"/>
        <v>9096</v>
      </c>
    </row>
    <row r="868" spans="2:20">
      <c r="B868" s="386" t="s">
        <v>973</v>
      </c>
      <c r="C868" s="114"/>
      <c r="D868" s="111" t="s">
        <v>1547</v>
      </c>
      <c r="E868" s="111" t="s">
        <v>1839</v>
      </c>
      <c r="F868" s="111"/>
      <c r="G868" s="110" t="s">
        <v>2073</v>
      </c>
      <c r="H868" s="141">
        <v>984.55096500000002</v>
      </c>
      <c r="I868" s="280"/>
      <c r="J868" s="72">
        <v>148.52000000000001</v>
      </c>
      <c r="K868" s="271">
        <f t="shared" si="39"/>
        <v>146225.50932180003</v>
      </c>
      <c r="L868" s="111"/>
      <c r="M868" s="73"/>
      <c r="N868" s="112"/>
      <c r="O868" s="111"/>
      <c r="P868" s="312">
        <v>0</v>
      </c>
      <c r="Q868" s="288">
        <f t="shared" si="40"/>
        <v>0</v>
      </c>
      <c r="R868" s="118">
        <v>0</v>
      </c>
      <c r="S868" s="283">
        <v>2016</v>
      </c>
      <c r="T868" s="288">
        <f t="shared" si="41"/>
        <v>158448</v>
      </c>
    </row>
    <row r="869" spans="2:20">
      <c r="B869" s="386" t="s">
        <v>974</v>
      </c>
      <c r="C869" s="114"/>
      <c r="D869" s="111" t="s">
        <v>1546</v>
      </c>
      <c r="E869" s="111" t="s">
        <v>1840</v>
      </c>
      <c r="F869" s="111"/>
      <c r="G869" s="110" t="s">
        <v>2073</v>
      </c>
      <c r="H869" s="141">
        <v>123.69940099999999</v>
      </c>
      <c r="I869" s="280"/>
      <c r="J869" s="72">
        <v>148.52000000000001</v>
      </c>
      <c r="K869" s="271">
        <f t="shared" si="39"/>
        <v>18371.835036520002</v>
      </c>
      <c r="L869" s="111"/>
      <c r="M869" s="73"/>
      <c r="N869" s="112"/>
      <c r="O869" s="111"/>
      <c r="P869" s="312">
        <v>0</v>
      </c>
      <c r="Q869" s="288">
        <f t="shared" si="40"/>
        <v>0</v>
      </c>
      <c r="R869" s="118">
        <v>0</v>
      </c>
      <c r="S869" s="283">
        <v>2016</v>
      </c>
      <c r="T869" s="288">
        <f t="shared" si="41"/>
        <v>19908</v>
      </c>
    </row>
    <row r="870" spans="2:20">
      <c r="B870" s="386" t="s">
        <v>975</v>
      </c>
      <c r="C870" s="114"/>
      <c r="D870" s="111" t="s">
        <v>1547</v>
      </c>
      <c r="E870" s="111" t="s">
        <v>1834</v>
      </c>
      <c r="F870" s="111"/>
      <c r="G870" s="110" t="s">
        <v>2073</v>
      </c>
      <c r="H870" s="141">
        <v>134.773731</v>
      </c>
      <c r="I870" s="280"/>
      <c r="J870" s="72">
        <v>148.52000000000001</v>
      </c>
      <c r="K870" s="271">
        <f t="shared" ref="K870:K928" si="42">J870*H870</f>
        <v>20016.59452812</v>
      </c>
      <c r="L870" s="111"/>
      <c r="M870" s="73"/>
      <c r="N870" s="112"/>
      <c r="O870" s="111"/>
      <c r="P870" s="312">
        <v>0</v>
      </c>
      <c r="Q870" s="288">
        <f t="shared" ref="Q870:Q928" si="43">IFERROR(R870/P870,0)</f>
        <v>0</v>
      </c>
      <c r="R870" s="118">
        <v>0</v>
      </c>
      <c r="S870" s="283">
        <v>2016</v>
      </c>
      <c r="T870" s="288">
        <f t="shared" si="41"/>
        <v>21690</v>
      </c>
    </row>
    <row r="871" spans="2:20">
      <c r="B871" s="386" t="s">
        <v>976</v>
      </c>
      <c r="C871" s="114"/>
      <c r="D871" s="111" t="s">
        <v>1547</v>
      </c>
      <c r="E871" s="111" t="s">
        <v>1835</v>
      </c>
      <c r="F871" s="111"/>
      <c r="G871" s="110" t="s">
        <v>2073</v>
      </c>
      <c r="H871" s="141">
        <v>345.80320999999998</v>
      </c>
      <c r="I871" s="280"/>
      <c r="J871" s="72">
        <v>148.52000000000001</v>
      </c>
      <c r="K871" s="271">
        <f t="shared" si="42"/>
        <v>51358.692749200003</v>
      </c>
      <c r="L871" s="111"/>
      <c r="M871" s="73"/>
      <c r="N871" s="112"/>
      <c r="O871" s="111"/>
      <c r="P871" s="312">
        <v>0</v>
      </c>
      <c r="Q871" s="288">
        <f t="shared" si="43"/>
        <v>0</v>
      </c>
      <c r="R871" s="118">
        <v>0</v>
      </c>
      <c r="S871" s="283">
        <v>2016</v>
      </c>
      <c r="T871" s="288">
        <f t="shared" si="41"/>
        <v>55652</v>
      </c>
    </row>
    <row r="872" spans="2:20">
      <c r="B872" s="386" t="s">
        <v>977</v>
      </c>
      <c r="C872" s="114"/>
      <c r="D872" s="111" t="s">
        <v>1547</v>
      </c>
      <c r="E872" s="111" t="s">
        <v>1835</v>
      </c>
      <c r="F872" s="111"/>
      <c r="G872" s="110" t="s">
        <v>2073</v>
      </c>
      <c r="H872" s="141">
        <v>616.06102499999997</v>
      </c>
      <c r="I872" s="280"/>
      <c r="J872" s="72">
        <v>148.52000000000001</v>
      </c>
      <c r="K872" s="271">
        <f t="shared" si="42"/>
        <v>91497.383432999995</v>
      </c>
      <c r="L872" s="111"/>
      <c r="M872" s="73"/>
      <c r="N872" s="112"/>
      <c r="O872" s="111"/>
      <c r="P872" s="312">
        <v>0</v>
      </c>
      <c r="Q872" s="288">
        <f t="shared" si="43"/>
        <v>0</v>
      </c>
      <c r="R872" s="118">
        <v>0</v>
      </c>
      <c r="S872" s="283">
        <v>2016</v>
      </c>
      <c r="T872" s="288">
        <f t="shared" si="41"/>
        <v>99146</v>
      </c>
    </row>
    <row r="873" spans="2:20">
      <c r="B873" s="386" t="s">
        <v>978</v>
      </c>
      <c r="C873" s="114"/>
      <c r="D873" s="111" t="s">
        <v>1547</v>
      </c>
      <c r="E873" s="111" t="s">
        <v>1841</v>
      </c>
      <c r="F873" s="111"/>
      <c r="G873" s="110" t="s">
        <v>2073</v>
      </c>
      <c r="H873" s="141">
        <v>47.242176999999998</v>
      </c>
      <c r="I873" s="280"/>
      <c r="J873" s="72">
        <v>148.52000000000001</v>
      </c>
      <c r="K873" s="271">
        <f t="shared" si="42"/>
        <v>7016.4081280400005</v>
      </c>
      <c r="L873" s="111"/>
      <c r="M873" s="73"/>
      <c r="N873" s="112"/>
      <c r="O873" s="111"/>
      <c r="P873" s="312">
        <v>0</v>
      </c>
      <c r="Q873" s="288">
        <f t="shared" si="43"/>
        <v>0</v>
      </c>
      <c r="R873" s="118">
        <v>0</v>
      </c>
      <c r="S873" s="283">
        <v>2016</v>
      </c>
      <c r="T873" s="288">
        <f t="shared" si="41"/>
        <v>7603</v>
      </c>
    </row>
    <row r="874" spans="2:20">
      <c r="B874" s="386" t="s">
        <v>979</v>
      </c>
      <c r="C874" s="114"/>
      <c r="D874" s="111" t="s">
        <v>1547</v>
      </c>
      <c r="E874" s="111" t="s">
        <v>1841</v>
      </c>
      <c r="F874" s="111"/>
      <c r="G874" s="110" t="s">
        <v>2073</v>
      </c>
      <c r="H874" s="141">
        <v>206.46212299999999</v>
      </c>
      <c r="I874" s="280"/>
      <c r="J874" s="72">
        <v>148.52000000000001</v>
      </c>
      <c r="K874" s="271">
        <f t="shared" si="42"/>
        <v>30663.754507960002</v>
      </c>
      <c r="L874" s="111"/>
      <c r="M874" s="73"/>
      <c r="N874" s="112"/>
      <c r="O874" s="111"/>
      <c r="P874" s="312">
        <v>0</v>
      </c>
      <c r="Q874" s="288">
        <f t="shared" si="43"/>
        <v>0</v>
      </c>
      <c r="R874" s="118">
        <v>0</v>
      </c>
      <c r="S874" s="283">
        <v>2016</v>
      </c>
      <c r="T874" s="288">
        <f t="shared" si="41"/>
        <v>33227</v>
      </c>
    </row>
    <row r="875" spans="2:20">
      <c r="B875" s="386" t="s">
        <v>980</v>
      </c>
      <c r="C875" s="114"/>
      <c r="D875" s="111" t="s">
        <v>1547</v>
      </c>
      <c r="E875" s="111" t="s">
        <v>1842</v>
      </c>
      <c r="F875" s="111"/>
      <c r="G875" s="110" t="s">
        <v>2073</v>
      </c>
      <c r="H875" s="141">
        <v>450.562096</v>
      </c>
      <c r="I875" s="280"/>
      <c r="J875" s="72">
        <v>148.52000000000001</v>
      </c>
      <c r="K875" s="271">
        <f t="shared" si="42"/>
        <v>66917.482497920006</v>
      </c>
      <c r="L875" s="111"/>
      <c r="M875" s="73"/>
      <c r="N875" s="112"/>
      <c r="O875" s="111"/>
      <c r="P875" s="312">
        <v>0</v>
      </c>
      <c r="Q875" s="288">
        <f t="shared" si="43"/>
        <v>0</v>
      </c>
      <c r="R875" s="118">
        <v>0</v>
      </c>
      <c r="S875" s="283">
        <v>2016</v>
      </c>
      <c r="T875" s="288">
        <f t="shared" si="41"/>
        <v>72511</v>
      </c>
    </row>
    <row r="876" spans="2:20">
      <c r="B876" s="386" t="s">
        <v>981</v>
      </c>
      <c r="C876" s="114"/>
      <c r="D876" s="111" t="s">
        <v>1547</v>
      </c>
      <c r="E876" s="111" t="s">
        <v>1843</v>
      </c>
      <c r="F876" s="111"/>
      <c r="G876" s="110" t="s">
        <v>2073</v>
      </c>
      <c r="H876" s="141">
        <v>2791.6110119999998</v>
      </c>
      <c r="I876" s="280"/>
      <c r="J876" s="72">
        <v>148.52000000000001</v>
      </c>
      <c r="K876" s="271">
        <f t="shared" si="42"/>
        <v>414610.06750224001</v>
      </c>
      <c r="L876" s="111"/>
      <c r="M876" s="73"/>
      <c r="N876" s="112"/>
      <c r="O876" s="111"/>
      <c r="P876" s="312">
        <v>0</v>
      </c>
      <c r="Q876" s="288">
        <f t="shared" si="43"/>
        <v>0</v>
      </c>
      <c r="R876" s="118">
        <v>0</v>
      </c>
      <c r="S876" s="283">
        <v>2016</v>
      </c>
      <c r="T876" s="288">
        <f t="shared" si="41"/>
        <v>449267</v>
      </c>
    </row>
    <row r="877" spans="2:20">
      <c r="B877" s="386" t="s">
        <v>982</v>
      </c>
      <c r="C877" s="114"/>
      <c r="D877" s="111" t="s">
        <v>1547</v>
      </c>
      <c r="E877" s="111" t="s">
        <v>1843</v>
      </c>
      <c r="F877" s="111"/>
      <c r="G877" s="110" t="s">
        <v>2073</v>
      </c>
      <c r="H877" s="141">
        <v>531.58273999999994</v>
      </c>
      <c r="I877" s="280"/>
      <c r="J877" s="72">
        <v>148.52000000000001</v>
      </c>
      <c r="K877" s="271">
        <f t="shared" si="42"/>
        <v>78950.668544799992</v>
      </c>
      <c r="L877" s="111"/>
      <c r="M877" s="73"/>
      <c r="N877" s="112"/>
      <c r="O877" s="111"/>
      <c r="P877" s="312">
        <v>0</v>
      </c>
      <c r="Q877" s="288">
        <f t="shared" si="43"/>
        <v>0</v>
      </c>
      <c r="R877" s="118">
        <v>0</v>
      </c>
      <c r="S877" s="283">
        <v>2016</v>
      </c>
      <c r="T877" s="288">
        <f t="shared" si="41"/>
        <v>85550</v>
      </c>
    </row>
    <row r="878" spans="2:20">
      <c r="B878" s="386" t="s">
        <v>983</v>
      </c>
      <c r="C878" s="114"/>
      <c r="D878" s="111" t="s">
        <v>1546</v>
      </c>
      <c r="E878" s="111" t="s">
        <v>1576</v>
      </c>
      <c r="F878" s="111"/>
      <c r="G878" s="110" t="s">
        <v>2073</v>
      </c>
      <c r="H878" s="141">
        <v>355.19598999999999</v>
      </c>
      <c r="I878" s="280"/>
      <c r="J878" s="72">
        <v>148.52000000000001</v>
      </c>
      <c r="K878" s="271">
        <f t="shared" si="42"/>
        <v>52753.708434800006</v>
      </c>
      <c r="L878" s="111"/>
      <c r="M878" s="73"/>
      <c r="N878" s="112"/>
      <c r="O878" s="111"/>
      <c r="P878" s="312">
        <v>0</v>
      </c>
      <c r="Q878" s="288">
        <f t="shared" si="43"/>
        <v>0</v>
      </c>
      <c r="R878" s="118">
        <v>0</v>
      </c>
      <c r="S878" s="283">
        <v>2016</v>
      </c>
      <c r="T878" s="288">
        <f t="shared" si="41"/>
        <v>57163</v>
      </c>
    </row>
    <row r="879" spans="2:20">
      <c r="B879" s="386" t="s">
        <v>984</v>
      </c>
      <c r="C879" s="114"/>
      <c r="D879" s="111" t="s">
        <v>1546</v>
      </c>
      <c r="E879" s="111" t="s">
        <v>1576</v>
      </c>
      <c r="F879" s="111"/>
      <c r="G879" s="110" t="s">
        <v>2073</v>
      </c>
      <c r="H879" s="141">
        <v>112.42218200000001</v>
      </c>
      <c r="I879" s="280"/>
      <c r="J879" s="72">
        <v>148.52000000000001</v>
      </c>
      <c r="K879" s="271">
        <f t="shared" si="42"/>
        <v>16696.942470640002</v>
      </c>
      <c r="L879" s="111"/>
      <c r="M879" s="73"/>
      <c r="N879" s="112"/>
      <c r="O879" s="111"/>
      <c r="P879" s="312">
        <v>0</v>
      </c>
      <c r="Q879" s="288">
        <f t="shared" si="43"/>
        <v>0</v>
      </c>
      <c r="R879" s="118">
        <v>0</v>
      </c>
      <c r="S879" s="283">
        <v>2016</v>
      </c>
      <c r="T879" s="288">
        <f t="shared" si="41"/>
        <v>18093</v>
      </c>
    </row>
    <row r="880" spans="2:20">
      <c r="B880" s="386" t="s">
        <v>985</v>
      </c>
      <c r="C880" s="114"/>
      <c r="D880" s="111" t="s">
        <v>1547</v>
      </c>
      <c r="E880" s="111" t="s">
        <v>1576</v>
      </c>
      <c r="F880" s="111"/>
      <c r="G880" s="110" t="s">
        <v>2073</v>
      </c>
      <c r="H880" s="141">
        <v>98.884653999999998</v>
      </c>
      <c r="I880" s="280"/>
      <c r="J880" s="72">
        <v>148.52000000000001</v>
      </c>
      <c r="K880" s="271">
        <f t="shared" si="42"/>
        <v>14686.348812080001</v>
      </c>
      <c r="L880" s="111"/>
      <c r="M880" s="73"/>
      <c r="N880" s="112"/>
      <c r="O880" s="111"/>
      <c r="P880" s="312">
        <v>0</v>
      </c>
      <c r="Q880" s="288">
        <f t="shared" si="43"/>
        <v>0</v>
      </c>
      <c r="R880" s="118">
        <v>0</v>
      </c>
      <c r="S880" s="283">
        <v>2016</v>
      </c>
      <c r="T880" s="288">
        <f t="shared" si="41"/>
        <v>15914</v>
      </c>
    </row>
    <row r="881" spans="2:20">
      <c r="B881" s="386" t="s">
        <v>986</v>
      </c>
      <c r="C881" s="114"/>
      <c r="D881" s="111" t="s">
        <v>1547</v>
      </c>
      <c r="E881" s="111" t="s">
        <v>1576</v>
      </c>
      <c r="F881" s="111"/>
      <c r="G881" s="110" t="s">
        <v>2073</v>
      </c>
      <c r="H881" s="141">
        <v>283.10064999999997</v>
      </c>
      <c r="I881" s="280"/>
      <c r="J881" s="72">
        <v>148.52000000000001</v>
      </c>
      <c r="K881" s="271">
        <f t="shared" si="42"/>
        <v>42046.108538</v>
      </c>
      <c r="L881" s="111"/>
      <c r="M881" s="73"/>
      <c r="N881" s="112"/>
      <c r="O881" s="111"/>
      <c r="P881" s="312">
        <v>0</v>
      </c>
      <c r="Q881" s="288">
        <f t="shared" si="43"/>
        <v>0</v>
      </c>
      <c r="R881" s="118">
        <v>0</v>
      </c>
      <c r="S881" s="283">
        <v>2016</v>
      </c>
      <c r="T881" s="288">
        <f t="shared" si="41"/>
        <v>45561</v>
      </c>
    </row>
    <row r="882" spans="2:20">
      <c r="B882" s="386" t="s">
        <v>987</v>
      </c>
      <c r="C882" s="114"/>
      <c r="D882" s="111" t="s">
        <v>1547</v>
      </c>
      <c r="E882" s="111" t="s">
        <v>1576</v>
      </c>
      <c r="F882" s="111"/>
      <c r="G882" s="110" t="s">
        <v>2073</v>
      </c>
      <c r="H882" s="141">
        <v>92.865855999999994</v>
      </c>
      <c r="I882" s="280"/>
      <c r="J882" s="72">
        <v>148.52000000000001</v>
      </c>
      <c r="K882" s="271">
        <f t="shared" si="42"/>
        <v>13792.43693312</v>
      </c>
      <c r="L882" s="111"/>
      <c r="M882" s="73"/>
      <c r="N882" s="112"/>
      <c r="O882" s="111"/>
      <c r="P882" s="312">
        <v>0</v>
      </c>
      <c r="Q882" s="288">
        <f t="shared" si="43"/>
        <v>0</v>
      </c>
      <c r="R882" s="118">
        <v>0</v>
      </c>
      <c r="S882" s="283">
        <v>2016</v>
      </c>
      <c r="T882" s="288">
        <f t="shared" si="41"/>
        <v>14945</v>
      </c>
    </row>
    <row r="883" spans="2:20">
      <c r="B883" s="386" t="s">
        <v>988</v>
      </c>
      <c r="C883" s="114"/>
      <c r="D883" s="111" t="s">
        <v>1547</v>
      </c>
      <c r="E883" s="111" t="s">
        <v>1844</v>
      </c>
      <c r="F883" s="111"/>
      <c r="G883" s="110" t="s">
        <v>2073</v>
      </c>
      <c r="H883" s="141">
        <v>38.939715999999997</v>
      </c>
      <c r="I883" s="280"/>
      <c r="J883" s="72">
        <v>148.52000000000001</v>
      </c>
      <c r="K883" s="271">
        <f t="shared" si="42"/>
        <v>5783.3266203200001</v>
      </c>
      <c r="L883" s="111"/>
      <c r="M883" s="73"/>
      <c r="N883" s="112"/>
      <c r="O883" s="111"/>
      <c r="P883" s="312">
        <v>0</v>
      </c>
      <c r="Q883" s="288">
        <f t="shared" si="43"/>
        <v>0</v>
      </c>
      <c r="R883" s="118">
        <v>0</v>
      </c>
      <c r="S883" s="283">
        <v>2016</v>
      </c>
      <c r="T883" s="288">
        <f t="shared" si="41"/>
        <v>6267</v>
      </c>
    </row>
    <row r="884" spans="2:20">
      <c r="B884" s="386" t="s">
        <v>989</v>
      </c>
      <c r="C884" s="114"/>
      <c r="D884" s="111" t="s">
        <v>1547</v>
      </c>
      <c r="E884" s="111" t="s">
        <v>1844</v>
      </c>
      <c r="F884" s="111"/>
      <c r="G884" s="110" t="s">
        <v>2073</v>
      </c>
      <c r="H884" s="141">
        <v>811.28618400000005</v>
      </c>
      <c r="I884" s="280"/>
      <c r="J884" s="72">
        <v>148.52000000000001</v>
      </c>
      <c r="K884" s="271">
        <f t="shared" si="42"/>
        <v>120492.22404768002</v>
      </c>
      <c r="L884" s="111"/>
      <c r="M884" s="73"/>
      <c r="N884" s="112"/>
      <c r="O884" s="111"/>
      <c r="P884" s="312">
        <v>0</v>
      </c>
      <c r="Q884" s="288">
        <f t="shared" si="43"/>
        <v>0</v>
      </c>
      <c r="R884" s="118">
        <v>0</v>
      </c>
      <c r="S884" s="283">
        <v>2016</v>
      </c>
      <c r="T884" s="288">
        <f t="shared" si="41"/>
        <v>130564</v>
      </c>
    </row>
    <row r="885" spans="2:20">
      <c r="B885" s="386" t="s">
        <v>990</v>
      </c>
      <c r="C885" s="114"/>
      <c r="D885" s="111" t="s">
        <v>1547</v>
      </c>
      <c r="E885" s="111" t="s">
        <v>1702</v>
      </c>
      <c r="F885" s="111"/>
      <c r="G885" s="110" t="s">
        <v>2073</v>
      </c>
      <c r="H885" s="141">
        <v>1254.246744</v>
      </c>
      <c r="I885" s="280"/>
      <c r="J885" s="72">
        <v>148.52000000000001</v>
      </c>
      <c r="K885" s="271">
        <f t="shared" si="42"/>
        <v>186280.72641888002</v>
      </c>
      <c r="L885" s="111"/>
      <c r="M885" s="73"/>
      <c r="N885" s="112"/>
      <c r="O885" s="111"/>
      <c r="P885" s="312">
        <v>0</v>
      </c>
      <c r="Q885" s="288">
        <f t="shared" si="43"/>
        <v>0</v>
      </c>
      <c r="R885" s="118">
        <v>0</v>
      </c>
      <c r="S885" s="283">
        <v>2016</v>
      </c>
      <c r="T885" s="288">
        <f t="shared" si="41"/>
        <v>201852</v>
      </c>
    </row>
    <row r="886" spans="2:20">
      <c r="B886" s="386" t="s">
        <v>991</v>
      </c>
      <c r="C886" s="114"/>
      <c r="D886" s="111" t="s">
        <v>1547</v>
      </c>
      <c r="E886" s="111" t="s">
        <v>1702</v>
      </c>
      <c r="F886" s="111"/>
      <c r="G886" s="110" t="s">
        <v>2073</v>
      </c>
      <c r="H886" s="141">
        <v>86.463507000000007</v>
      </c>
      <c r="I886" s="280"/>
      <c r="J886" s="72">
        <v>148.52000000000001</v>
      </c>
      <c r="K886" s="271">
        <f t="shared" si="42"/>
        <v>12841.560059640002</v>
      </c>
      <c r="L886" s="111"/>
      <c r="M886" s="73"/>
      <c r="N886" s="112"/>
      <c r="O886" s="111"/>
      <c r="P886" s="312">
        <v>0</v>
      </c>
      <c r="Q886" s="288">
        <f t="shared" si="43"/>
        <v>0</v>
      </c>
      <c r="R886" s="118">
        <v>0</v>
      </c>
      <c r="S886" s="283">
        <v>2016</v>
      </c>
      <c r="T886" s="288">
        <f t="shared" si="41"/>
        <v>13915</v>
      </c>
    </row>
    <row r="887" spans="2:20">
      <c r="B887" s="386" t="s">
        <v>992</v>
      </c>
      <c r="C887" s="114"/>
      <c r="D887" s="111" t="s">
        <v>1547</v>
      </c>
      <c r="E887" s="111" t="s">
        <v>1845</v>
      </c>
      <c r="F887" s="111"/>
      <c r="G887" s="110" t="s">
        <v>2073</v>
      </c>
      <c r="H887" s="141">
        <v>372.39873699999998</v>
      </c>
      <c r="I887" s="280"/>
      <c r="J887" s="72">
        <v>148.52000000000001</v>
      </c>
      <c r="K887" s="271">
        <f t="shared" si="42"/>
        <v>55308.660419240005</v>
      </c>
      <c r="L887" s="111"/>
      <c r="M887" s="73"/>
      <c r="N887" s="112"/>
      <c r="O887" s="111"/>
      <c r="P887" s="312">
        <v>0</v>
      </c>
      <c r="Q887" s="288">
        <f t="shared" si="43"/>
        <v>0</v>
      </c>
      <c r="R887" s="118">
        <v>0</v>
      </c>
      <c r="S887" s="283">
        <v>2016</v>
      </c>
      <c r="T887" s="288">
        <f t="shared" si="41"/>
        <v>59932</v>
      </c>
    </row>
    <row r="888" spans="2:20">
      <c r="B888" s="386" t="s">
        <v>993</v>
      </c>
      <c r="C888" s="114"/>
      <c r="D888" s="111" t="s">
        <v>1547</v>
      </c>
      <c r="E888" s="111" t="s">
        <v>1845</v>
      </c>
      <c r="F888" s="111"/>
      <c r="G888" s="110" t="s">
        <v>2073</v>
      </c>
      <c r="H888" s="141">
        <v>284.04507699999999</v>
      </c>
      <c r="I888" s="280"/>
      <c r="J888" s="72">
        <v>148.52000000000001</v>
      </c>
      <c r="K888" s="271">
        <f t="shared" si="42"/>
        <v>42186.374836039999</v>
      </c>
      <c r="L888" s="111"/>
      <c r="M888" s="73"/>
      <c r="N888" s="112"/>
      <c r="O888" s="111"/>
      <c r="P888" s="312">
        <v>0</v>
      </c>
      <c r="Q888" s="288">
        <f t="shared" si="43"/>
        <v>0</v>
      </c>
      <c r="R888" s="118">
        <v>0</v>
      </c>
      <c r="S888" s="283">
        <v>2016</v>
      </c>
      <c r="T888" s="288">
        <f t="shared" si="41"/>
        <v>45713</v>
      </c>
    </row>
    <row r="889" spans="2:20">
      <c r="B889" s="386" t="s">
        <v>994</v>
      </c>
      <c r="C889" s="114"/>
      <c r="D889" s="111" t="s">
        <v>1547</v>
      </c>
      <c r="E889" s="111" t="s">
        <v>1846</v>
      </c>
      <c r="F889" s="111"/>
      <c r="G889" s="110" t="s">
        <v>2073</v>
      </c>
      <c r="H889" s="141">
        <v>1195.6552939999999</v>
      </c>
      <c r="I889" s="280"/>
      <c r="J889" s="72">
        <v>148.52000000000001</v>
      </c>
      <c r="K889" s="271">
        <f t="shared" si="42"/>
        <v>177578.72426488</v>
      </c>
      <c r="L889" s="111"/>
      <c r="M889" s="73"/>
      <c r="N889" s="112"/>
      <c r="O889" s="111"/>
      <c r="P889" s="312">
        <v>0</v>
      </c>
      <c r="Q889" s="288">
        <f t="shared" si="43"/>
        <v>0</v>
      </c>
      <c r="R889" s="118">
        <v>0</v>
      </c>
      <c r="S889" s="283">
        <v>2016</v>
      </c>
      <c r="T889" s="288">
        <f t="shared" si="41"/>
        <v>192422</v>
      </c>
    </row>
    <row r="890" spans="2:20">
      <c r="B890" s="386" t="s">
        <v>995</v>
      </c>
      <c r="C890" s="114"/>
      <c r="D890" s="111" t="s">
        <v>1547</v>
      </c>
      <c r="E890" s="111" t="s">
        <v>1846</v>
      </c>
      <c r="F890" s="111"/>
      <c r="G890" s="110" t="s">
        <v>2073</v>
      </c>
      <c r="H890" s="141">
        <v>134.21100899999999</v>
      </c>
      <c r="I890" s="280"/>
      <c r="J890" s="72">
        <v>148.52000000000001</v>
      </c>
      <c r="K890" s="271">
        <f t="shared" si="42"/>
        <v>19933.019056680001</v>
      </c>
      <c r="L890" s="111"/>
      <c r="M890" s="73"/>
      <c r="N890" s="112"/>
      <c r="O890" s="111"/>
      <c r="P890" s="312">
        <v>0</v>
      </c>
      <c r="Q890" s="288">
        <f t="shared" si="43"/>
        <v>0</v>
      </c>
      <c r="R890" s="118">
        <v>0</v>
      </c>
      <c r="S890" s="283">
        <v>2016</v>
      </c>
      <c r="T890" s="288">
        <f t="shared" si="41"/>
        <v>21599</v>
      </c>
    </row>
    <row r="891" spans="2:20">
      <c r="B891" s="386" t="s">
        <v>996</v>
      </c>
      <c r="C891" s="114"/>
      <c r="D891" s="111" t="s">
        <v>1547</v>
      </c>
      <c r="E891" s="111" t="s">
        <v>1846</v>
      </c>
      <c r="F891" s="111"/>
      <c r="G891" s="110" t="s">
        <v>2073</v>
      </c>
      <c r="H891" s="141">
        <v>56.030248999999998</v>
      </c>
      <c r="I891" s="280"/>
      <c r="J891" s="72">
        <v>148.52000000000001</v>
      </c>
      <c r="K891" s="271">
        <f t="shared" si="42"/>
        <v>8321.6125814799998</v>
      </c>
      <c r="L891" s="111"/>
      <c r="M891" s="73"/>
      <c r="N891" s="112"/>
      <c r="O891" s="111"/>
      <c r="P891" s="312">
        <v>0</v>
      </c>
      <c r="Q891" s="288">
        <f t="shared" si="43"/>
        <v>0</v>
      </c>
      <c r="R891" s="118">
        <v>0</v>
      </c>
      <c r="S891" s="283">
        <v>2016</v>
      </c>
      <c r="T891" s="288">
        <f t="shared" si="41"/>
        <v>9017</v>
      </c>
    </row>
    <row r="892" spans="2:20">
      <c r="B892" s="386" t="s">
        <v>997</v>
      </c>
      <c r="C892" s="114"/>
      <c r="D892" s="111" t="s">
        <v>1547</v>
      </c>
      <c r="E892" s="111" t="s">
        <v>1843</v>
      </c>
      <c r="F892" s="111"/>
      <c r="G892" s="110" t="s">
        <v>2073</v>
      </c>
      <c r="H892" s="141">
        <v>477.644184</v>
      </c>
      <c r="I892" s="280"/>
      <c r="J892" s="72">
        <v>148.52000000000001</v>
      </c>
      <c r="K892" s="271">
        <f t="shared" si="42"/>
        <v>70939.714207680008</v>
      </c>
      <c r="L892" s="111"/>
      <c r="M892" s="73"/>
      <c r="N892" s="112"/>
      <c r="O892" s="111"/>
      <c r="P892" s="312">
        <v>0</v>
      </c>
      <c r="Q892" s="288">
        <f t="shared" si="43"/>
        <v>0</v>
      </c>
      <c r="R892" s="118">
        <v>0</v>
      </c>
      <c r="S892" s="283">
        <v>2016</v>
      </c>
      <c r="T892" s="288">
        <f t="shared" si="41"/>
        <v>76870</v>
      </c>
    </row>
    <row r="893" spans="2:20">
      <c r="B893" s="386" t="s">
        <v>998</v>
      </c>
      <c r="C893" s="114"/>
      <c r="D893" s="111" t="s">
        <v>1547</v>
      </c>
      <c r="E893" s="111" t="s">
        <v>1843</v>
      </c>
      <c r="F893" s="111"/>
      <c r="G893" s="110" t="s">
        <v>2073</v>
      </c>
      <c r="H893" s="141">
        <v>510.00011599999999</v>
      </c>
      <c r="I893" s="280"/>
      <c r="J893" s="72">
        <v>148.52000000000001</v>
      </c>
      <c r="K893" s="271">
        <f t="shared" si="42"/>
        <v>75745.217228320005</v>
      </c>
      <c r="L893" s="111"/>
      <c r="M893" s="73"/>
      <c r="N893" s="112"/>
      <c r="O893" s="111"/>
      <c r="P893" s="312">
        <v>0</v>
      </c>
      <c r="Q893" s="288">
        <f t="shared" si="43"/>
        <v>0</v>
      </c>
      <c r="R893" s="118">
        <v>0</v>
      </c>
      <c r="S893" s="283">
        <v>2016</v>
      </c>
      <c r="T893" s="288">
        <f t="shared" si="41"/>
        <v>82077</v>
      </c>
    </row>
    <row r="894" spans="2:20">
      <c r="B894" s="386" t="s">
        <v>999</v>
      </c>
      <c r="C894" s="114"/>
      <c r="D894" s="111" t="s">
        <v>1547</v>
      </c>
      <c r="E894" s="111" t="s">
        <v>1843</v>
      </c>
      <c r="F894" s="111"/>
      <c r="G894" s="110" t="s">
        <v>2073</v>
      </c>
      <c r="H894" s="141">
        <v>360.16604999999998</v>
      </c>
      <c r="I894" s="280"/>
      <c r="J894" s="72">
        <v>148.52000000000001</v>
      </c>
      <c r="K894" s="271">
        <f t="shared" si="42"/>
        <v>53491.861746000002</v>
      </c>
      <c r="L894" s="111"/>
      <c r="M894" s="73"/>
      <c r="N894" s="112"/>
      <c r="O894" s="111"/>
      <c r="P894" s="312">
        <v>0</v>
      </c>
      <c r="Q894" s="288">
        <f t="shared" si="43"/>
        <v>0</v>
      </c>
      <c r="R894" s="118">
        <v>0</v>
      </c>
      <c r="S894" s="283">
        <v>2016</v>
      </c>
      <c r="T894" s="288">
        <f t="shared" si="41"/>
        <v>57963</v>
      </c>
    </row>
    <row r="895" spans="2:20">
      <c r="B895" s="386" t="s">
        <v>1000</v>
      </c>
      <c r="C895" s="114"/>
      <c r="D895" s="111" t="s">
        <v>1547</v>
      </c>
      <c r="E895" s="111" t="s">
        <v>1843</v>
      </c>
      <c r="F895" s="111"/>
      <c r="G895" s="110" t="s">
        <v>2073</v>
      </c>
      <c r="H895" s="141">
        <v>254.66204999999999</v>
      </c>
      <c r="I895" s="280"/>
      <c r="J895" s="72">
        <v>148.52000000000001</v>
      </c>
      <c r="K895" s="271">
        <f t="shared" si="42"/>
        <v>37822.407665999999</v>
      </c>
      <c r="L895" s="111"/>
      <c r="M895" s="73"/>
      <c r="N895" s="112"/>
      <c r="O895" s="111"/>
      <c r="P895" s="312">
        <v>0</v>
      </c>
      <c r="Q895" s="288">
        <f t="shared" si="43"/>
        <v>0</v>
      </c>
      <c r="R895" s="118">
        <v>0</v>
      </c>
      <c r="S895" s="283">
        <v>2016</v>
      </c>
      <c r="T895" s="288">
        <f t="shared" si="41"/>
        <v>40984</v>
      </c>
    </row>
    <row r="896" spans="2:20">
      <c r="B896" s="386" t="s">
        <v>1001</v>
      </c>
      <c r="C896" s="114"/>
      <c r="D896" s="111" t="s">
        <v>1546</v>
      </c>
      <c r="E896" s="111" t="s">
        <v>1847</v>
      </c>
      <c r="F896" s="111"/>
      <c r="G896" s="110" t="s">
        <v>2073</v>
      </c>
      <c r="H896" s="141">
        <v>54.203304000000003</v>
      </c>
      <c r="I896" s="280"/>
      <c r="J896" s="72">
        <v>148.52000000000001</v>
      </c>
      <c r="K896" s="271">
        <f t="shared" si="42"/>
        <v>8050.2747100800007</v>
      </c>
      <c r="L896" s="111"/>
      <c r="M896" s="73"/>
      <c r="N896" s="112"/>
      <c r="O896" s="111"/>
      <c r="P896" s="312">
        <v>0</v>
      </c>
      <c r="Q896" s="288">
        <f t="shared" si="43"/>
        <v>0</v>
      </c>
      <c r="R896" s="118">
        <v>0</v>
      </c>
      <c r="S896" s="283">
        <v>2016</v>
      </c>
      <c r="T896" s="288">
        <f t="shared" si="41"/>
        <v>8723</v>
      </c>
    </row>
    <row r="897" spans="2:20">
      <c r="B897" s="386" t="s">
        <v>1002</v>
      </c>
      <c r="C897" s="114"/>
      <c r="D897" s="111" t="s">
        <v>1546</v>
      </c>
      <c r="E897" s="111" t="s">
        <v>1847</v>
      </c>
      <c r="F897" s="111"/>
      <c r="G897" s="110" t="s">
        <v>2073</v>
      </c>
      <c r="H897" s="141">
        <v>651.947363</v>
      </c>
      <c r="I897" s="280"/>
      <c r="J897" s="72">
        <v>148.52000000000001</v>
      </c>
      <c r="K897" s="271">
        <f t="shared" si="42"/>
        <v>96827.22235276</v>
      </c>
      <c r="L897" s="111"/>
      <c r="M897" s="73"/>
      <c r="N897" s="112"/>
      <c r="O897" s="111"/>
      <c r="P897" s="312">
        <v>0</v>
      </c>
      <c r="Q897" s="288">
        <f t="shared" si="43"/>
        <v>0</v>
      </c>
      <c r="R897" s="118">
        <v>0</v>
      </c>
      <c r="S897" s="283">
        <v>2016</v>
      </c>
      <c r="T897" s="288">
        <f t="shared" si="41"/>
        <v>104921</v>
      </c>
    </row>
    <row r="898" spans="2:20">
      <c r="B898" s="386" t="s">
        <v>1003</v>
      </c>
      <c r="C898" s="114"/>
      <c r="D898" s="111" t="s">
        <v>1546</v>
      </c>
      <c r="E898" s="111" t="s">
        <v>1847</v>
      </c>
      <c r="F898" s="111"/>
      <c r="G898" s="110" t="s">
        <v>2073</v>
      </c>
      <c r="H898" s="141">
        <v>55.973196000000002</v>
      </c>
      <c r="I898" s="280"/>
      <c r="J898" s="72">
        <v>148.52000000000001</v>
      </c>
      <c r="K898" s="271">
        <f t="shared" si="42"/>
        <v>8313.1390699200001</v>
      </c>
      <c r="L898" s="111"/>
      <c r="M898" s="73"/>
      <c r="N898" s="112"/>
      <c r="O898" s="111"/>
      <c r="P898" s="312">
        <v>0</v>
      </c>
      <c r="Q898" s="288">
        <f t="shared" si="43"/>
        <v>0</v>
      </c>
      <c r="R898" s="118">
        <v>0</v>
      </c>
      <c r="S898" s="283">
        <v>2016</v>
      </c>
      <c r="T898" s="288">
        <f t="shared" si="41"/>
        <v>9008</v>
      </c>
    </row>
    <row r="899" spans="2:20">
      <c r="B899" s="386" t="s">
        <v>1004</v>
      </c>
      <c r="C899" s="114"/>
      <c r="D899" s="111" t="s">
        <v>1547</v>
      </c>
      <c r="E899" s="111" t="s">
        <v>1847</v>
      </c>
      <c r="F899" s="111"/>
      <c r="G899" s="110" t="s">
        <v>2073</v>
      </c>
      <c r="H899" s="141">
        <v>123.69104900000001</v>
      </c>
      <c r="I899" s="280"/>
      <c r="J899" s="72">
        <v>148.52000000000001</v>
      </c>
      <c r="K899" s="271">
        <f t="shared" si="42"/>
        <v>18370.594597480002</v>
      </c>
      <c r="L899" s="111"/>
      <c r="M899" s="73"/>
      <c r="N899" s="112"/>
      <c r="O899" s="111"/>
      <c r="P899" s="312">
        <v>0</v>
      </c>
      <c r="Q899" s="288">
        <f t="shared" si="43"/>
        <v>0</v>
      </c>
      <c r="R899" s="118">
        <v>0</v>
      </c>
      <c r="S899" s="283">
        <v>2016</v>
      </c>
      <c r="T899" s="288">
        <f t="shared" si="41"/>
        <v>19906</v>
      </c>
    </row>
    <row r="900" spans="2:20">
      <c r="B900" s="386" t="s">
        <v>1005</v>
      </c>
      <c r="C900" s="114"/>
      <c r="D900" s="111" t="s">
        <v>1547</v>
      </c>
      <c r="E900" s="111" t="s">
        <v>1848</v>
      </c>
      <c r="F900" s="111"/>
      <c r="G900" s="110" t="s">
        <v>2073</v>
      </c>
      <c r="H900" s="141">
        <v>1260.6153420000001</v>
      </c>
      <c r="I900" s="280"/>
      <c r="J900" s="72">
        <v>148.52000000000001</v>
      </c>
      <c r="K900" s="271">
        <f t="shared" si="42"/>
        <v>187226.59059384002</v>
      </c>
      <c r="L900" s="111"/>
      <c r="M900" s="73"/>
      <c r="N900" s="112"/>
      <c r="O900" s="111"/>
      <c r="P900" s="312">
        <v>3.6303044600000001</v>
      </c>
      <c r="Q900" s="288">
        <f t="shared" si="43"/>
        <v>665.99999990083472</v>
      </c>
      <c r="R900" s="118">
        <v>2417.7827699999998</v>
      </c>
      <c r="S900" s="283">
        <v>2016</v>
      </c>
      <c r="T900" s="288">
        <f t="shared" si="41"/>
        <v>205501</v>
      </c>
    </row>
    <row r="901" spans="2:20">
      <c r="B901" s="386" t="s">
        <v>1006</v>
      </c>
      <c r="C901" s="114"/>
      <c r="D901" s="111" t="s">
        <v>1547</v>
      </c>
      <c r="E901" s="111" t="s">
        <v>1849</v>
      </c>
      <c r="F901" s="111"/>
      <c r="G901" s="110" t="s">
        <v>2073</v>
      </c>
      <c r="H901" s="141">
        <v>61.749245999999999</v>
      </c>
      <c r="I901" s="280"/>
      <c r="J901" s="72">
        <v>148.52000000000001</v>
      </c>
      <c r="K901" s="271">
        <f t="shared" si="42"/>
        <v>9170.9980159200004</v>
      </c>
      <c r="L901" s="111"/>
      <c r="M901" s="73"/>
      <c r="N901" s="112"/>
      <c r="O901" s="111"/>
      <c r="P901" s="312">
        <v>0</v>
      </c>
      <c r="Q901" s="288">
        <f t="shared" si="43"/>
        <v>0</v>
      </c>
      <c r="R901" s="118">
        <v>0</v>
      </c>
      <c r="S901" s="283">
        <v>2016</v>
      </c>
      <c r="T901" s="288">
        <f t="shared" si="41"/>
        <v>9938</v>
      </c>
    </row>
    <row r="902" spans="2:20">
      <c r="B902" s="386" t="s">
        <v>1007</v>
      </c>
      <c r="C902" s="114"/>
      <c r="D902" s="111" t="s">
        <v>1547</v>
      </c>
      <c r="E902" s="111" t="s">
        <v>1850</v>
      </c>
      <c r="F902" s="111"/>
      <c r="G902" s="110" t="s">
        <v>2073</v>
      </c>
      <c r="H902" s="141">
        <v>1031.3051499999999</v>
      </c>
      <c r="I902" s="280"/>
      <c r="J902" s="72">
        <v>148.52000000000001</v>
      </c>
      <c r="K902" s="271">
        <f t="shared" si="42"/>
        <v>153169.44087799999</v>
      </c>
      <c r="L902" s="111"/>
      <c r="M902" s="73"/>
      <c r="N902" s="112"/>
      <c r="O902" s="111"/>
      <c r="P902" s="312">
        <v>0</v>
      </c>
      <c r="Q902" s="288">
        <f t="shared" si="43"/>
        <v>0</v>
      </c>
      <c r="R902" s="118">
        <v>0</v>
      </c>
      <c r="S902" s="283">
        <v>2016</v>
      </c>
      <c r="T902" s="288">
        <f t="shared" si="41"/>
        <v>165973</v>
      </c>
    </row>
    <row r="903" spans="2:20">
      <c r="B903" s="386" t="s">
        <v>1008</v>
      </c>
      <c r="C903" s="114"/>
      <c r="D903" s="111" t="s">
        <v>1546</v>
      </c>
      <c r="E903" s="111" t="s">
        <v>1851</v>
      </c>
      <c r="F903" s="111"/>
      <c r="G903" s="110" t="s">
        <v>2073</v>
      </c>
      <c r="H903" s="141">
        <v>420.88417700000002</v>
      </c>
      <c r="I903" s="280"/>
      <c r="J903" s="72">
        <v>148.52000000000001</v>
      </c>
      <c r="K903" s="271">
        <f t="shared" si="42"/>
        <v>62509.717968040008</v>
      </c>
      <c r="L903" s="111"/>
      <c r="M903" s="73"/>
      <c r="N903" s="112"/>
      <c r="O903" s="111"/>
      <c r="P903" s="312">
        <v>0</v>
      </c>
      <c r="Q903" s="288">
        <f t="shared" si="43"/>
        <v>0</v>
      </c>
      <c r="R903" s="118">
        <v>0</v>
      </c>
      <c r="S903" s="283">
        <v>2016</v>
      </c>
      <c r="T903" s="288">
        <f t="shared" si="41"/>
        <v>67735</v>
      </c>
    </row>
    <row r="904" spans="2:20">
      <c r="B904" s="386" t="s">
        <v>1009</v>
      </c>
      <c r="C904" s="114"/>
      <c r="D904" s="111" t="s">
        <v>1546</v>
      </c>
      <c r="E904" s="111" t="s">
        <v>1852</v>
      </c>
      <c r="F904" s="111"/>
      <c r="G904" s="110" t="s">
        <v>2073</v>
      </c>
      <c r="H904" s="141">
        <v>2397.0691189999998</v>
      </c>
      <c r="I904" s="280"/>
      <c r="J904" s="72">
        <v>148.52000000000001</v>
      </c>
      <c r="K904" s="271">
        <f t="shared" si="42"/>
        <v>356012.70555388002</v>
      </c>
      <c r="L904" s="111"/>
      <c r="M904" s="73"/>
      <c r="N904" s="112"/>
      <c r="O904" s="111"/>
      <c r="P904" s="312">
        <v>0</v>
      </c>
      <c r="Q904" s="288">
        <f t="shared" si="43"/>
        <v>0</v>
      </c>
      <c r="R904" s="118">
        <v>0</v>
      </c>
      <c r="S904" s="283">
        <v>2016</v>
      </c>
      <c r="T904" s="288">
        <f t="shared" si="41"/>
        <v>385772</v>
      </c>
    </row>
    <row r="905" spans="2:20">
      <c r="B905" s="386" t="s">
        <v>1010</v>
      </c>
      <c r="C905" s="114"/>
      <c r="D905" s="111" t="s">
        <v>1547</v>
      </c>
      <c r="E905" s="111" t="s">
        <v>1853</v>
      </c>
      <c r="F905" s="111"/>
      <c r="G905" s="110" t="s">
        <v>2073</v>
      </c>
      <c r="H905" s="141">
        <v>119.02328300000001</v>
      </c>
      <c r="I905" s="280"/>
      <c r="J905" s="72">
        <v>148.52000000000001</v>
      </c>
      <c r="K905" s="271">
        <f t="shared" si="42"/>
        <v>17677.337991160002</v>
      </c>
      <c r="L905" s="111"/>
      <c r="M905" s="73"/>
      <c r="N905" s="112"/>
      <c r="O905" s="111"/>
      <c r="P905" s="312">
        <v>0</v>
      </c>
      <c r="Q905" s="288">
        <f t="shared" si="43"/>
        <v>0</v>
      </c>
      <c r="R905" s="118">
        <v>0</v>
      </c>
      <c r="S905" s="283">
        <v>2016</v>
      </c>
      <c r="T905" s="288">
        <f t="shared" si="41"/>
        <v>19155</v>
      </c>
    </row>
    <row r="906" spans="2:20">
      <c r="B906" s="386" t="s">
        <v>1011</v>
      </c>
      <c r="C906" s="114"/>
      <c r="D906" s="111" t="s">
        <v>1547</v>
      </c>
      <c r="E906" s="111" t="s">
        <v>1853</v>
      </c>
      <c r="F906" s="111"/>
      <c r="G906" s="110" t="s">
        <v>2073</v>
      </c>
      <c r="H906" s="141">
        <v>323.14207099999999</v>
      </c>
      <c r="I906" s="280"/>
      <c r="J906" s="72">
        <v>148.52000000000001</v>
      </c>
      <c r="K906" s="271">
        <f t="shared" si="42"/>
        <v>47993.060384919998</v>
      </c>
      <c r="L906" s="111"/>
      <c r="M906" s="73"/>
      <c r="N906" s="112"/>
      <c r="O906" s="111"/>
      <c r="P906" s="312">
        <v>0</v>
      </c>
      <c r="Q906" s="288">
        <f t="shared" si="43"/>
        <v>0</v>
      </c>
      <c r="R906" s="118">
        <v>0</v>
      </c>
      <c r="S906" s="283">
        <v>2016</v>
      </c>
      <c r="T906" s="288">
        <f t="shared" si="41"/>
        <v>52005</v>
      </c>
    </row>
    <row r="907" spans="2:20">
      <c r="B907" s="386" t="s">
        <v>1012</v>
      </c>
      <c r="C907" s="114"/>
      <c r="D907" s="111" t="s">
        <v>1546</v>
      </c>
      <c r="E907" s="111" t="s">
        <v>1854</v>
      </c>
      <c r="F907" s="111"/>
      <c r="G907" s="110" t="s">
        <v>2073</v>
      </c>
      <c r="H907" s="141">
        <v>203.44665000000001</v>
      </c>
      <c r="I907" s="280"/>
      <c r="J907" s="72">
        <v>148.52000000000001</v>
      </c>
      <c r="K907" s="271">
        <f t="shared" si="42"/>
        <v>30215.896458000003</v>
      </c>
      <c r="L907" s="111"/>
      <c r="M907" s="73"/>
      <c r="N907" s="112"/>
      <c r="O907" s="111"/>
      <c r="P907" s="312">
        <v>0</v>
      </c>
      <c r="Q907" s="288">
        <f t="shared" si="43"/>
        <v>0</v>
      </c>
      <c r="R907" s="118">
        <v>0</v>
      </c>
      <c r="S907" s="283">
        <v>2016</v>
      </c>
      <c r="T907" s="288">
        <f t="shared" si="41"/>
        <v>32742</v>
      </c>
    </row>
    <row r="908" spans="2:20">
      <c r="B908" s="386" t="s">
        <v>1013</v>
      </c>
      <c r="C908" s="114"/>
      <c r="D908" s="111" t="s">
        <v>1546</v>
      </c>
      <c r="E908" s="111" t="s">
        <v>1854</v>
      </c>
      <c r="F908" s="111"/>
      <c r="G908" s="110" t="s">
        <v>2073</v>
      </c>
      <c r="H908" s="141">
        <v>1333.670691</v>
      </c>
      <c r="I908" s="280"/>
      <c r="J908" s="72">
        <v>148.52000000000001</v>
      </c>
      <c r="K908" s="271">
        <f t="shared" si="42"/>
        <v>198076.77102732001</v>
      </c>
      <c r="L908" s="111"/>
      <c r="M908" s="73"/>
      <c r="N908" s="112"/>
      <c r="O908" s="111"/>
      <c r="P908" s="312">
        <v>0</v>
      </c>
      <c r="Q908" s="288">
        <f t="shared" si="43"/>
        <v>0</v>
      </c>
      <c r="R908" s="118">
        <v>0</v>
      </c>
      <c r="S908" s="283">
        <v>2016</v>
      </c>
      <c r="T908" s="288">
        <f t="shared" si="41"/>
        <v>214634</v>
      </c>
    </row>
    <row r="909" spans="2:20">
      <c r="B909" s="386" t="s">
        <v>1014</v>
      </c>
      <c r="C909" s="114"/>
      <c r="D909" s="111" t="s">
        <v>1547</v>
      </c>
      <c r="E909" s="111" t="s">
        <v>1855</v>
      </c>
      <c r="F909" s="111"/>
      <c r="G909" s="110" t="s">
        <v>2073</v>
      </c>
      <c r="H909" s="141">
        <v>157.22129200000001</v>
      </c>
      <c r="I909" s="280"/>
      <c r="J909" s="72">
        <v>148.52000000000001</v>
      </c>
      <c r="K909" s="271">
        <f t="shared" si="42"/>
        <v>23350.506287840002</v>
      </c>
      <c r="L909" s="111"/>
      <c r="M909" s="73"/>
      <c r="N909" s="112"/>
      <c r="O909" s="111"/>
      <c r="P909" s="312">
        <v>0</v>
      </c>
      <c r="Q909" s="288">
        <f t="shared" si="43"/>
        <v>0</v>
      </c>
      <c r="R909" s="118">
        <v>0</v>
      </c>
      <c r="S909" s="283">
        <v>2016</v>
      </c>
      <c r="T909" s="288">
        <f t="shared" ref="T909:T972" si="44">IFERROR(ROUND((K909*(1+PPI_Existing)^(YEAR-S909))+(R909*((1+LandInd_Existing)^(YEAR-S909))),0),0)</f>
        <v>25302</v>
      </c>
    </row>
    <row r="910" spans="2:20">
      <c r="B910" s="386" t="s">
        <v>1015</v>
      </c>
      <c r="C910" s="114"/>
      <c r="D910" s="111" t="s">
        <v>1547</v>
      </c>
      <c r="E910" s="111" t="s">
        <v>1856</v>
      </c>
      <c r="F910" s="111"/>
      <c r="G910" s="110" t="s">
        <v>2073</v>
      </c>
      <c r="H910" s="141">
        <v>724.79605700000002</v>
      </c>
      <c r="I910" s="280"/>
      <c r="J910" s="72">
        <v>148.52000000000001</v>
      </c>
      <c r="K910" s="271">
        <f t="shared" si="42"/>
        <v>107646.71038564001</v>
      </c>
      <c r="L910" s="111"/>
      <c r="M910" s="73"/>
      <c r="N910" s="112"/>
      <c r="O910" s="111"/>
      <c r="P910" s="312">
        <v>0</v>
      </c>
      <c r="Q910" s="288">
        <f t="shared" si="43"/>
        <v>0</v>
      </c>
      <c r="R910" s="118">
        <v>0</v>
      </c>
      <c r="S910" s="283">
        <v>2016</v>
      </c>
      <c r="T910" s="288">
        <f t="shared" si="44"/>
        <v>116645</v>
      </c>
    </row>
    <row r="911" spans="2:20">
      <c r="B911" s="386" t="s">
        <v>1016</v>
      </c>
      <c r="C911" s="114"/>
      <c r="D911" s="111" t="s">
        <v>1547</v>
      </c>
      <c r="E911" s="111" t="s">
        <v>1856</v>
      </c>
      <c r="F911" s="111"/>
      <c r="G911" s="110" t="s">
        <v>2073</v>
      </c>
      <c r="H911" s="141">
        <v>222.72680700000001</v>
      </c>
      <c r="I911" s="280"/>
      <c r="J911" s="72">
        <v>148.52000000000001</v>
      </c>
      <c r="K911" s="271">
        <f t="shared" si="42"/>
        <v>33079.385375640006</v>
      </c>
      <c r="L911" s="111"/>
      <c r="M911" s="73"/>
      <c r="N911" s="112"/>
      <c r="O911" s="111"/>
      <c r="P911" s="312">
        <v>0</v>
      </c>
      <c r="Q911" s="288">
        <f t="shared" si="43"/>
        <v>0</v>
      </c>
      <c r="R911" s="118">
        <v>0</v>
      </c>
      <c r="S911" s="283">
        <v>2016</v>
      </c>
      <c r="T911" s="288">
        <f t="shared" si="44"/>
        <v>35844</v>
      </c>
    </row>
    <row r="912" spans="2:20">
      <c r="B912" s="386" t="s">
        <v>1017</v>
      </c>
      <c r="C912" s="114"/>
      <c r="D912" s="111" t="s">
        <v>1547</v>
      </c>
      <c r="E912" s="111" t="s">
        <v>1857</v>
      </c>
      <c r="F912" s="111"/>
      <c r="G912" s="110" t="s">
        <v>2073</v>
      </c>
      <c r="H912" s="141">
        <v>647.03600200000005</v>
      </c>
      <c r="I912" s="280"/>
      <c r="J912" s="72">
        <v>148.52000000000001</v>
      </c>
      <c r="K912" s="271">
        <f t="shared" si="42"/>
        <v>96097.787017040013</v>
      </c>
      <c r="L912" s="111"/>
      <c r="M912" s="73"/>
      <c r="N912" s="112"/>
      <c r="O912" s="111"/>
      <c r="P912" s="312">
        <v>0</v>
      </c>
      <c r="Q912" s="288">
        <f t="shared" si="43"/>
        <v>0</v>
      </c>
      <c r="R912" s="118">
        <v>0</v>
      </c>
      <c r="S912" s="283">
        <v>2016</v>
      </c>
      <c r="T912" s="288">
        <f t="shared" si="44"/>
        <v>104131</v>
      </c>
    </row>
    <row r="913" spans="2:20">
      <c r="B913" s="386" t="s">
        <v>1018</v>
      </c>
      <c r="C913" s="114"/>
      <c r="D913" s="111" t="s">
        <v>1547</v>
      </c>
      <c r="E913" s="111" t="s">
        <v>1857</v>
      </c>
      <c r="F913" s="111"/>
      <c r="G913" s="110" t="s">
        <v>2073</v>
      </c>
      <c r="H913" s="141">
        <v>639.56852000000003</v>
      </c>
      <c r="I913" s="280"/>
      <c r="J913" s="72">
        <v>148.52000000000001</v>
      </c>
      <c r="K913" s="271">
        <f t="shared" si="42"/>
        <v>94988.716590400014</v>
      </c>
      <c r="L913" s="111"/>
      <c r="M913" s="73"/>
      <c r="N913" s="112"/>
      <c r="O913" s="111"/>
      <c r="P913" s="312">
        <v>0</v>
      </c>
      <c r="Q913" s="288">
        <f t="shared" si="43"/>
        <v>0</v>
      </c>
      <c r="R913" s="118">
        <v>0</v>
      </c>
      <c r="S913" s="283">
        <v>2016</v>
      </c>
      <c r="T913" s="288">
        <f t="shared" si="44"/>
        <v>102929</v>
      </c>
    </row>
    <row r="914" spans="2:20">
      <c r="B914" s="386" t="s">
        <v>1019</v>
      </c>
      <c r="C914" s="114"/>
      <c r="D914" s="111" t="s">
        <v>1547</v>
      </c>
      <c r="E914" s="111" t="s">
        <v>1857</v>
      </c>
      <c r="F914" s="111"/>
      <c r="G914" s="110" t="s">
        <v>2073</v>
      </c>
      <c r="H914" s="141">
        <v>945.33522000000005</v>
      </c>
      <c r="I914" s="280"/>
      <c r="J914" s="72">
        <v>148.52000000000001</v>
      </c>
      <c r="K914" s="271">
        <f t="shared" si="42"/>
        <v>140401.18687440001</v>
      </c>
      <c r="L914" s="111"/>
      <c r="M914" s="73"/>
      <c r="N914" s="112"/>
      <c r="O914" s="111"/>
      <c r="P914" s="312">
        <v>0</v>
      </c>
      <c r="Q914" s="288">
        <f t="shared" si="43"/>
        <v>0</v>
      </c>
      <c r="R914" s="118">
        <v>0</v>
      </c>
      <c r="S914" s="283">
        <v>2016</v>
      </c>
      <c r="T914" s="288">
        <f t="shared" si="44"/>
        <v>152137</v>
      </c>
    </row>
    <row r="915" spans="2:20">
      <c r="B915" s="386" t="s">
        <v>1020</v>
      </c>
      <c r="C915" s="114"/>
      <c r="D915" s="111" t="s">
        <v>1546</v>
      </c>
      <c r="E915" s="111" t="s">
        <v>1858</v>
      </c>
      <c r="F915" s="111"/>
      <c r="G915" s="110" t="s">
        <v>2073</v>
      </c>
      <c r="H915" s="141">
        <v>471.94617399999998</v>
      </c>
      <c r="I915" s="280"/>
      <c r="J915" s="72">
        <v>148.52000000000001</v>
      </c>
      <c r="K915" s="271">
        <f t="shared" si="42"/>
        <v>70093.445762479998</v>
      </c>
      <c r="L915" s="111"/>
      <c r="M915" s="73"/>
      <c r="N915" s="112"/>
      <c r="O915" s="111"/>
      <c r="P915" s="312">
        <v>0</v>
      </c>
      <c r="Q915" s="288">
        <f t="shared" si="43"/>
        <v>0</v>
      </c>
      <c r="R915" s="118">
        <v>0</v>
      </c>
      <c r="S915" s="283">
        <v>2016</v>
      </c>
      <c r="T915" s="288">
        <f t="shared" si="44"/>
        <v>75953</v>
      </c>
    </row>
    <row r="916" spans="2:20">
      <c r="B916" s="386" t="s">
        <v>1021</v>
      </c>
      <c r="C916" s="114"/>
      <c r="D916" s="111" t="s">
        <v>1546</v>
      </c>
      <c r="E916" s="111" t="s">
        <v>1859</v>
      </c>
      <c r="F916" s="111"/>
      <c r="G916" s="110" t="s">
        <v>2073</v>
      </c>
      <c r="H916" s="141">
        <v>356.97842800000001</v>
      </c>
      <c r="I916" s="280"/>
      <c r="J916" s="72">
        <v>148.52000000000001</v>
      </c>
      <c r="K916" s="271">
        <f t="shared" si="42"/>
        <v>53018.436126560002</v>
      </c>
      <c r="L916" s="111"/>
      <c r="M916" s="73"/>
      <c r="N916" s="112"/>
      <c r="O916" s="111"/>
      <c r="P916" s="312">
        <v>0</v>
      </c>
      <c r="Q916" s="288">
        <f t="shared" si="43"/>
        <v>0</v>
      </c>
      <c r="R916" s="118">
        <v>0</v>
      </c>
      <c r="S916" s="283">
        <v>2016</v>
      </c>
      <c r="T916" s="288">
        <f t="shared" si="44"/>
        <v>57450</v>
      </c>
    </row>
    <row r="917" spans="2:20">
      <c r="B917" s="386" t="s">
        <v>1022</v>
      </c>
      <c r="C917" s="114"/>
      <c r="D917" s="111" t="s">
        <v>1546</v>
      </c>
      <c r="E917" s="111" t="s">
        <v>1859</v>
      </c>
      <c r="F917" s="111"/>
      <c r="G917" s="110" t="s">
        <v>2073</v>
      </c>
      <c r="H917" s="141">
        <v>226.785447</v>
      </c>
      <c r="I917" s="280"/>
      <c r="J917" s="72">
        <v>148.52000000000001</v>
      </c>
      <c r="K917" s="271">
        <f t="shared" si="42"/>
        <v>33682.174588440001</v>
      </c>
      <c r="L917" s="111"/>
      <c r="M917" s="73"/>
      <c r="N917" s="112"/>
      <c r="O917" s="111"/>
      <c r="P917" s="312">
        <v>0</v>
      </c>
      <c r="Q917" s="288">
        <f t="shared" si="43"/>
        <v>0</v>
      </c>
      <c r="R917" s="118">
        <v>0</v>
      </c>
      <c r="S917" s="283">
        <v>2016</v>
      </c>
      <c r="T917" s="288">
        <f t="shared" si="44"/>
        <v>36498</v>
      </c>
    </row>
    <row r="918" spans="2:20">
      <c r="B918" s="386" t="s">
        <v>1023</v>
      </c>
      <c r="C918" s="114"/>
      <c r="D918" s="111" t="s">
        <v>1547</v>
      </c>
      <c r="E918" s="111" t="s">
        <v>1860</v>
      </c>
      <c r="F918" s="111"/>
      <c r="G918" s="110" t="s">
        <v>2073</v>
      </c>
      <c r="H918" s="141">
        <v>16.096347999999999</v>
      </c>
      <c r="I918" s="280"/>
      <c r="J918" s="72">
        <v>148.52000000000001</v>
      </c>
      <c r="K918" s="271">
        <f t="shared" si="42"/>
        <v>2390.6296049600001</v>
      </c>
      <c r="L918" s="111"/>
      <c r="M918" s="73"/>
      <c r="N918" s="112"/>
      <c r="O918" s="111"/>
      <c r="P918" s="312">
        <v>0</v>
      </c>
      <c r="Q918" s="288">
        <f t="shared" si="43"/>
        <v>0</v>
      </c>
      <c r="R918" s="118">
        <v>0</v>
      </c>
      <c r="S918" s="283">
        <v>2016</v>
      </c>
      <c r="T918" s="288">
        <f t="shared" si="44"/>
        <v>2590</v>
      </c>
    </row>
    <row r="919" spans="2:20">
      <c r="B919" s="386" t="s">
        <v>1024</v>
      </c>
      <c r="C919" s="114"/>
      <c r="D919" s="111" t="s">
        <v>1547</v>
      </c>
      <c r="E919" s="111" t="s">
        <v>1861</v>
      </c>
      <c r="F919" s="111"/>
      <c r="G919" s="110" t="s">
        <v>2073</v>
      </c>
      <c r="H919" s="141">
        <v>41.299061000000002</v>
      </c>
      <c r="I919" s="280"/>
      <c r="J919" s="72">
        <v>148.52000000000001</v>
      </c>
      <c r="K919" s="271">
        <f t="shared" si="42"/>
        <v>6133.736539720001</v>
      </c>
      <c r="L919" s="111"/>
      <c r="M919" s="73"/>
      <c r="N919" s="112"/>
      <c r="O919" s="111"/>
      <c r="P919" s="312">
        <v>0</v>
      </c>
      <c r="Q919" s="288">
        <f t="shared" si="43"/>
        <v>0</v>
      </c>
      <c r="R919" s="118">
        <v>0</v>
      </c>
      <c r="S919" s="283">
        <v>2016</v>
      </c>
      <c r="T919" s="288">
        <f t="shared" si="44"/>
        <v>6646</v>
      </c>
    </row>
    <row r="920" spans="2:20">
      <c r="B920" s="386" t="s">
        <v>1025</v>
      </c>
      <c r="C920" s="114"/>
      <c r="D920" s="111" t="s">
        <v>1546</v>
      </c>
      <c r="E920" s="111" t="s">
        <v>1862</v>
      </c>
      <c r="F920" s="111"/>
      <c r="G920" s="110" t="s">
        <v>2073</v>
      </c>
      <c r="H920" s="141">
        <v>481.40558199999998</v>
      </c>
      <c r="I920" s="280"/>
      <c r="J920" s="72">
        <v>148.52000000000001</v>
      </c>
      <c r="K920" s="271">
        <f t="shared" si="42"/>
        <v>71498.357038639995</v>
      </c>
      <c r="L920" s="111"/>
      <c r="M920" s="73"/>
      <c r="N920" s="112"/>
      <c r="O920" s="111"/>
      <c r="P920" s="312">
        <v>0</v>
      </c>
      <c r="Q920" s="288">
        <f t="shared" si="43"/>
        <v>0</v>
      </c>
      <c r="R920" s="118">
        <v>0</v>
      </c>
      <c r="S920" s="283">
        <v>2016</v>
      </c>
      <c r="T920" s="288">
        <f t="shared" si="44"/>
        <v>77475</v>
      </c>
    </row>
    <row r="921" spans="2:20">
      <c r="B921" s="386" t="s">
        <v>1026</v>
      </c>
      <c r="C921" s="114"/>
      <c r="D921" s="111" t="s">
        <v>1547</v>
      </c>
      <c r="E921" s="111" t="s">
        <v>1862</v>
      </c>
      <c r="F921" s="111"/>
      <c r="G921" s="110" t="s">
        <v>2073</v>
      </c>
      <c r="H921" s="141">
        <v>1459.017325</v>
      </c>
      <c r="I921" s="280"/>
      <c r="J921" s="72">
        <v>148.52000000000001</v>
      </c>
      <c r="K921" s="271">
        <f t="shared" si="42"/>
        <v>216693.25310900001</v>
      </c>
      <c r="L921" s="111"/>
      <c r="M921" s="73"/>
      <c r="N921" s="112"/>
      <c r="O921" s="111"/>
      <c r="P921" s="312">
        <v>0</v>
      </c>
      <c r="Q921" s="288">
        <f t="shared" si="43"/>
        <v>0</v>
      </c>
      <c r="R921" s="118">
        <v>0</v>
      </c>
      <c r="S921" s="283">
        <v>2016</v>
      </c>
      <c r="T921" s="288">
        <f t="shared" si="44"/>
        <v>234807</v>
      </c>
    </row>
    <row r="922" spans="2:20">
      <c r="B922" s="386" t="s">
        <v>1027</v>
      </c>
      <c r="C922" s="114"/>
      <c r="D922" s="111" t="s">
        <v>1546</v>
      </c>
      <c r="E922" s="111" t="s">
        <v>1863</v>
      </c>
      <c r="F922" s="111"/>
      <c r="G922" s="110" t="s">
        <v>2073</v>
      </c>
      <c r="H922" s="141">
        <v>1211.289931</v>
      </c>
      <c r="I922" s="280"/>
      <c r="J922" s="72">
        <v>148.52000000000001</v>
      </c>
      <c r="K922" s="271">
        <f t="shared" si="42"/>
        <v>179900.78055212001</v>
      </c>
      <c r="L922" s="111"/>
      <c r="M922" s="73"/>
      <c r="N922" s="112"/>
      <c r="O922" s="111"/>
      <c r="P922" s="312">
        <v>307.092691</v>
      </c>
      <c r="Q922" s="288">
        <f t="shared" si="43"/>
        <v>101.80525169190693</v>
      </c>
      <c r="R922" s="118">
        <v>31263.648700000002</v>
      </c>
      <c r="S922" s="283">
        <v>2016</v>
      </c>
      <c r="T922" s="288">
        <f t="shared" si="44"/>
        <v>228871</v>
      </c>
    </row>
    <row r="923" spans="2:20">
      <c r="B923" s="386" t="s">
        <v>1028</v>
      </c>
      <c r="C923" s="114"/>
      <c r="D923" s="111" t="s">
        <v>1546</v>
      </c>
      <c r="E923" s="111" t="s">
        <v>1591</v>
      </c>
      <c r="F923" s="111"/>
      <c r="G923" s="110" t="s">
        <v>2073</v>
      </c>
      <c r="H923" s="141">
        <v>191.23845499999999</v>
      </c>
      <c r="I923" s="280"/>
      <c r="J923" s="72">
        <v>148.52000000000001</v>
      </c>
      <c r="K923" s="271">
        <f t="shared" si="42"/>
        <v>28402.735336599999</v>
      </c>
      <c r="L923" s="111"/>
      <c r="M923" s="73"/>
      <c r="N923" s="112"/>
      <c r="O923" s="111"/>
      <c r="P923" s="312">
        <v>0</v>
      </c>
      <c r="Q923" s="288">
        <f t="shared" si="43"/>
        <v>0</v>
      </c>
      <c r="R923" s="118">
        <v>0</v>
      </c>
      <c r="S923" s="283">
        <v>2016</v>
      </c>
      <c r="T923" s="288">
        <f t="shared" si="44"/>
        <v>30777</v>
      </c>
    </row>
    <row r="924" spans="2:20">
      <c r="B924" s="386" t="s">
        <v>1029</v>
      </c>
      <c r="C924" s="114"/>
      <c r="D924" s="111" t="s">
        <v>1546</v>
      </c>
      <c r="E924" s="111" t="s">
        <v>1591</v>
      </c>
      <c r="F924" s="111"/>
      <c r="G924" s="110" t="s">
        <v>2073</v>
      </c>
      <c r="H924" s="141">
        <v>468.28863100000001</v>
      </c>
      <c r="I924" s="280"/>
      <c r="J924" s="72">
        <v>148.52000000000001</v>
      </c>
      <c r="K924" s="271">
        <f t="shared" si="42"/>
        <v>69550.22747612001</v>
      </c>
      <c r="L924" s="111"/>
      <c r="M924" s="73"/>
      <c r="N924" s="112"/>
      <c r="O924" s="111"/>
      <c r="P924" s="312">
        <v>0</v>
      </c>
      <c r="Q924" s="288">
        <f t="shared" si="43"/>
        <v>0</v>
      </c>
      <c r="R924" s="118">
        <v>0</v>
      </c>
      <c r="S924" s="283">
        <v>2016</v>
      </c>
      <c r="T924" s="288">
        <f t="shared" si="44"/>
        <v>75364</v>
      </c>
    </row>
    <row r="925" spans="2:20">
      <c r="B925" s="386" t="s">
        <v>1030</v>
      </c>
      <c r="C925" s="114"/>
      <c r="D925" s="111" t="s">
        <v>1547</v>
      </c>
      <c r="E925" s="111" t="s">
        <v>1591</v>
      </c>
      <c r="F925" s="111"/>
      <c r="G925" s="110" t="s">
        <v>2073</v>
      </c>
      <c r="H925" s="141">
        <v>95.328300999999996</v>
      </c>
      <c r="I925" s="280"/>
      <c r="J925" s="72">
        <v>148.52000000000001</v>
      </c>
      <c r="K925" s="271">
        <f t="shared" si="42"/>
        <v>14158.15926452</v>
      </c>
      <c r="L925" s="111"/>
      <c r="M925" s="73"/>
      <c r="N925" s="112"/>
      <c r="O925" s="111"/>
      <c r="P925" s="312">
        <v>0</v>
      </c>
      <c r="Q925" s="288">
        <f t="shared" si="43"/>
        <v>0</v>
      </c>
      <c r="R925" s="118">
        <v>0</v>
      </c>
      <c r="S925" s="283">
        <v>2016</v>
      </c>
      <c r="T925" s="288">
        <f t="shared" si="44"/>
        <v>15342</v>
      </c>
    </row>
    <row r="926" spans="2:20">
      <c r="B926" s="386" t="s">
        <v>1031</v>
      </c>
      <c r="C926" s="114"/>
      <c r="D926" s="111" t="s">
        <v>1546</v>
      </c>
      <c r="E926" s="111" t="s">
        <v>1864</v>
      </c>
      <c r="F926" s="111"/>
      <c r="G926" s="110" t="s">
        <v>2073</v>
      </c>
      <c r="H926" s="141">
        <v>471.262405</v>
      </c>
      <c r="I926" s="280"/>
      <c r="J926" s="72">
        <v>148.52000000000001</v>
      </c>
      <c r="K926" s="271">
        <f t="shared" si="42"/>
        <v>69991.892390599998</v>
      </c>
      <c r="L926" s="111"/>
      <c r="M926" s="73"/>
      <c r="N926" s="112"/>
      <c r="O926" s="111"/>
      <c r="P926" s="312">
        <v>0</v>
      </c>
      <c r="Q926" s="288">
        <f t="shared" si="43"/>
        <v>0</v>
      </c>
      <c r="R926" s="118">
        <v>0</v>
      </c>
      <c r="S926" s="283">
        <v>2016</v>
      </c>
      <c r="T926" s="288">
        <f t="shared" si="44"/>
        <v>75842</v>
      </c>
    </row>
    <row r="927" spans="2:20">
      <c r="B927" s="386" t="s">
        <v>1032</v>
      </c>
      <c r="C927" s="114"/>
      <c r="D927" s="111" t="s">
        <v>1546</v>
      </c>
      <c r="E927" s="111" t="s">
        <v>1864</v>
      </c>
      <c r="F927" s="111"/>
      <c r="G927" s="110" t="s">
        <v>2073</v>
      </c>
      <c r="H927" s="141">
        <v>8.2417309999999997</v>
      </c>
      <c r="I927" s="280"/>
      <c r="J927" s="72">
        <v>148.52000000000001</v>
      </c>
      <c r="K927" s="271">
        <f t="shared" si="42"/>
        <v>1224.06188812</v>
      </c>
      <c r="L927" s="111"/>
      <c r="M927" s="73"/>
      <c r="N927" s="112"/>
      <c r="O927" s="111"/>
      <c r="P927" s="312">
        <v>0</v>
      </c>
      <c r="Q927" s="288">
        <f t="shared" si="43"/>
        <v>0</v>
      </c>
      <c r="R927" s="118">
        <v>0</v>
      </c>
      <c r="S927" s="283">
        <v>2016</v>
      </c>
      <c r="T927" s="288">
        <f t="shared" si="44"/>
        <v>1326</v>
      </c>
    </row>
    <row r="928" spans="2:20">
      <c r="B928" s="386" t="s">
        <v>1033</v>
      </c>
      <c r="C928" s="114"/>
      <c r="D928" s="111" t="s">
        <v>1546</v>
      </c>
      <c r="E928" s="111" t="s">
        <v>1864</v>
      </c>
      <c r="F928" s="111"/>
      <c r="G928" s="110" t="s">
        <v>2073</v>
      </c>
      <c r="H928" s="141">
        <v>1042.8333170000001</v>
      </c>
      <c r="I928" s="280"/>
      <c r="J928" s="72">
        <v>148.52000000000001</v>
      </c>
      <c r="K928" s="271">
        <f t="shared" si="42"/>
        <v>154881.60424084001</v>
      </c>
      <c r="L928" s="111"/>
      <c r="M928" s="73"/>
      <c r="N928" s="112"/>
      <c r="O928" s="111"/>
      <c r="P928" s="312">
        <v>0</v>
      </c>
      <c r="Q928" s="288">
        <f t="shared" si="43"/>
        <v>0</v>
      </c>
      <c r="R928" s="118">
        <v>0</v>
      </c>
      <c r="S928" s="283">
        <v>2016</v>
      </c>
      <c r="T928" s="288">
        <f t="shared" si="44"/>
        <v>167828</v>
      </c>
    </row>
    <row r="929" spans="2:20">
      <c r="B929" s="386" t="s">
        <v>1034</v>
      </c>
      <c r="C929" s="114"/>
      <c r="D929" s="111" t="s">
        <v>1547</v>
      </c>
      <c r="E929" s="111" t="s">
        <v>1865</v>
      </c>
      <c r="F929" s="111"/>
      <c r="G929" s="110" t="s">
        <v>2073</v>
      </c>
      <c r="H929" s="141">
        <v>162.63860099999999</v>
      </c>
      <c r="I929" s="280"/>
      <c r="J929" s="72">
        <v>148.52000000000001</v>
      </c>
      <c r="K929" s="271">
        <f t="shared" ref="K929:K991" si="45">J929*H929</f>
        <v>24155.08502052</v>
      </c>
      <c r="L929" s="111"/>
      <c r="M929" s="73"/>
      <c r="N929" s="112"/>
      <c r="O929" s="111"/>
      <c r="P929" s="312">
        <v>0</v>
      </c>
      <c r="Q929" s="288">
        <f t="shared" ref="Q929:Q991" si="46">IFERROR(R929/P929,0)</f>
        <v>0</v>
      </c>
      <c r="R929" s="118">
        <v>0</v>
      </c>
      <c r="S929" s="283">
        <v>2016</v>
      </c>
      <c r="T929" s="288">
        <f t="shared" si="44"/>
        <v>26174</v>
      </c>
    </row>
    <row r="930" spans="2:20">
      <c r="B930" s="386" t="s">
        <v>1035</v>
      </c>
      <c r="C930" s="114"/>
      <c r="D930" s="111" t="s">
        <v>1547</v>
      </c>
      <c r="E930" s="111" t="s">
        <v>1866</v>
      </c>
      <c r="F930" s="111"/>
      <c r="G930" s="110" t="s">
        <v>2073</v>
      </c>
      <c r="H930" s="141">
        <v>3369.2808730000002</v>
      </c>
      <c r="I930" s="280"/>
      <c r="J930" s="72">
        <v>148.52000000000001</v>
      </c>
      <c r="K930" s="271">
        <f t="shared" si="45"/>
        <v>500405.59525796009</v>
      </c>
      <c r="L930" s="111"/>
      <c r="M930" s="73"/>
      <c r="N930" s="112"/>
      <c r="O930" s="111"/>
      <c r="P930" s="312">
        <v>0</v>
      </c>
      <c r="Q930" s="288">
        <f t="shared" si="46"/>
        <v>0</v>
      </c>
      <c r="R930" s="118">
        <v>0</v>
      </c>
      <c r="S930" s="283">
        <v>2016</v>
      </c>
      <c r="T930" s="288">
        <f t="shared" si="44"/>
        <v>542234</v>
      </c>
    </row>
    <row r="931" spans="2:20">
      <c r="B931" s="386" t="s">
        <v>1036</v>
      </c>
      <c r="C931" s="114"/>
      <c r="D931" s="111" t="s">
        <v>1546</v>
      </c>
      <c r="E931" s="111" t="s">
        <v>1867</v>
      </c>
      <c r="F931" s="111"/>
      <c r="G931" s="110" t="s">
        <v>2073</v>
      </c>
      <c r="H931" s="141">
        <v>206.77170799999999</v>
      </c>
      <c r="I931" s="280"/>
      <c r="J931" s="72">
        <v>148.52000000000001</v>
      </c>
      <c r="K931" s="271">
        <f t="shared" si="45"/>
        <v>30709.734072160001</v>
      </c>
      <c r="L931" s="111"/>
      <c r="M931" s="73"/>
      <c r="N931" s="112"/>
      <c r="O931" s="111"/>
      <c r="P931" s="312">
        <v>0</v>
      </c>
      <c r="Q931" s="288">
        <f t="shared" si="46"/>
        <v>0</v>
      </c>
      <c r="R931" s="118">
        <v>0</v>
      </c>
      <c r="S931" s="283">
        <v>2016</v>
      </c>
      <c r="T931" s="288">
        <f t="shared" si="44"/>
        <v>33277</v>
      </c>
    </row>
    <row r="932" spans="2:20">
      <c r="B932" s="386" t="s">
        <v>1037</v>
      </c>
      <c r="C932" s="114"/>
      <c r="D932" s="111" t="s">
        <v>1546</v>
      </c>
      <c r="E932" s="111" t="s">
        <v>1867</v>
      </c>
      <c r="F932" s="111"/>
      <c r="G932" s="110" t="s">
        <v>2073</v>
      </c>
      <c r="H932" s="141">
        <v>93.623182999999997</v>
      </c>
      <c r="I932" s="280"/>
      <c r="J932" s="72">
        <v>148.52000000000001</v>
      </c>
      <c r="K932" s="271">
        <f t="shared" si="45"/>
        <v>13904.915139160001</v>
      </c>
      <c r="L932" s="111"/>
      <c r="M932" s="73"/>
      <c r="N932" s="112"/>
      <c r="O932" s="111"/>
      <c r="P932" s="312">
        <v>0</v>
      </c>
      <c r="Q932" s="288">
        <f t="shared" si="46"/>
        <v>0</v>
      </c>
      <c r="R932" s="118">
        <v>0</v>
      </c>
      <c r="S932" s="283">
        <v>2016</v>
      </c>
      <c r="T932" s="288">
        <f t="shared" si="44"/>
        <v>15067</v>
      </c>
    </row>
    <row r="933" spans="2:20">
      <c r="B933" s="386" t="s">
        <v>1038</v>
      </c>
      <c r="C933" s="114"/>
      <c r="D933" s="111" t="s">
        <v>1546</v>
      </c>
      <c r="E933" s="111" t="s">
        <v>1868</v>
      </c>
      <c r="F933" s="111"/>
      <c r="G933" s="110" t="s">
        <v>2073</v>
      </c>
      <c r="H933" s="141">
        <v>1227.096822</v>
      </c>
      <c r="I933" s="280"/>
      <c r="J933" s="72">
        <v>148.52000000000001</v>
      </c>
      <c r="K933" s="271">
        <f t="shared" si="45"/>
        <v>182248.42000344</v>
      </c>
      <c r="L933" s="111"/>
      <c r="M933" s="73"/>
      <c r="N933" s="112"/>
      <c r="O933" s="111"/>
      <c r="P933" s="312">
        <v>0</v>
      </c>
      <c r="Q933" s="288">
        <f t="shared" si="46"/>
        <v>0</v>
      </c>
      <c r="R933" s="118">
        <v>0</v>
      </c>
      <c r="S933" s="283">
        <v>2016</v>
      </c>
      <c r="T933" s="288">
        <f t="shared" si="44"/>
        <v>197483</v>
      </c>
    </row>
    <row r="934" spans="2:20">
      <c r="B934" s="386" t="s">
        <v>1039</v>
      </c>
      <c r="C934" s="114"/>
      <c r="D934" s="111" t="s">
        <v>1547</v>
      </c>
      <c r="E934" s="111" t="s">
        <v>1869</v>
      </c>
      <c r="F934" s="111"/>
      <c r="G934" s="110" t="s">
        <v>2073</v>
      </c>
      <c r="H934" s="141">
        <v>368.82196099999999</v>
      </c>
      <c r="I934" s="280"/>
      <c r="J934" s="72">
        <v>148.52000000000001</v>
      </c>
      <c r="K934" s="271">
        <f t="shared" si="45"/>
        <v>54777.437647719998</v>
      </c>
      <c r="L934" s="111"/>
      <c r="M934" s="73"/>
      <c r="N934" s="112"/>
      <c r="O934" s="111"/>
      <c r="P934" s="312">
        <v>0</v>
      </c>
      <c r="Q934" s="288">
        <f t="shared" si="46"/>
        <v>0</v>
      </c>
      <c r="R934" s="118">
        <v>0</v>
      </c>
      <c r="S934" s="283">
        <v>2016</v>
      </c>
      <c r="T934" s="288">
        <f t="shared" si="44"/>
        <v>59356</v>
      </c>
    </row>
    <row r="935" spans="2:20">
      <c r="B935" s="386" t="s">
        <v>1040</v>
      </c>
      <c r="C935" s="114"/>
      <c r="D935" s="111" t="s">
        <v>1546</v>
      </c>
      <c r="E935" s="111" t="s">
        <v>1870</v>
      </c>
      <c r="F935" s="111"/>
      <c r="G935" s="110" t="s">
        <v>2073</v>
      </c>
      <c r="H935" s="141">
        <v>590.49111900000003</v>
      </c>
      <c r="I935" s="280"/>
      <c r="J935" s="72">
        <v>148.52000000000001</v>
      </c>
      <c r="K935" s="271">
        <f t="shared" si="45"/>
        <v>87699.740993880012</v>
      </c>
      <c r="L935" s="111"/>
      <c r="M935" s="73"/>
      <c r="N935" s="112"/>
      <c r="O935" s="111"/>
      <c r="P935" s="312">
        <v>0</v>
      </c>
      <c r="Q935" s="288">
        <f t="shared" si="46"/>
        <v>0</v>
      </c>
      <c r="R935" s="118">
        <v>0</v>
      </c>
      <c r="S935" s="283">
        <v>2016</v>
      </c>
      <c r="T935" s="288">
        <f t="shared" si="44"/>
        <v>95031</v>
      </c>
    </row>
    <row r="936" spans="2:20">
      <c r="B936" s="386" t="s">
        <v>1041</v>
      </c>
      <c r="C936" s="114"/>
      <c r="D936" s="111" t="s">
        <v>1546</v>
      </c>
      <c r="E936" s="111" t="s">
        <v>1870</v>
      </c>
      <c r="F936" s="111"/>
      <c r="G936" s="110" t="s">
        <v>2073</v>
      </c>
      <c r="H936" s="141">
        <v>232.490859</v>
      </c>
      <c r="I936" s="280"/>
      <c r="J936" s="72">
        <v>148.52000000000001</v>
      </c>
      <c r="K936" s="271">
        <f t="shared" si="45"/>
        <v>34529.542378680002</v>
      </c>
      <c r="L936" s="111"/>
      <c r="M936" s="73"/>
      <c r="N936" s="112"/>
      <c r="O936" s="111"/>
      <c r="P936" s="312">
        <v>0</v>
      </c>
      <c r="Q936" s="288">
        <f t="shared" si="46"/>
        <v>0</v>
      </c>
      <c r="R936" s="118">
        <v>0</v>
      </c>
      <c r="S936" s="283">
        <v>2016</v>
      </c>
      <c r="T936" s="288">
        <f t="shared" si="44"/>
        <v>37416</v>
      </c>
    </row>
    <row r="937" spans="2:20">
      <c r="B937" s="386" t="s">
        <v>1042</v>
      </c>
      <c r="C937" s="114"/>
      <c r="D937" s="111" t="s">
        <v>1546</v>
      </c>
      <c r="E937" s="111" t="s">
        <v>1870</v>
      </c>
      <c r="F937" s="111"/>
      <c r="G937" s="110" t="s">
        <v>2073</v>
      </c>
      <c r="H937" s="141">
        <v>367.36496599999998</v>
      </c>
      <c r="I937" s="280"/>
      <c r="J937" s="72">
        <v>148.52000000000001</v>
      </c>
      <c r="K937" s="271">
        <f t="shared" si="45"/>
        <v>54561.044750319998</v>
      </c>
      <c r="L937" s="111"/>
      <c r="M937" s="73"/>
      <c r="N937" s="112"/>
      <c r="O937" s="111"/>
      <c r="P937" s="312">
        <v>0</v>
      </c>
      <c r="Q937" s="288">
        <f t="shared" si="46"/>
        <v>0</v>
      </c>
      <c r="R937" s="118">
        <v>0</v>
      </c>
      <c r="S937" s="283">
        <v>2016</v>
      </c>
      <c r="T937" s="288">
        <f t="shared" si="44"/>
        <v>59122</v>
      </c>
    </row>
    <row r="938" spans="2:20">
      <c r="B938" s="386" t="s">
        <v>1043</v>
      </c>
      <c r="C938" s="114"/>
      <c r="D938" s="111" t="s">
        <v>1547</v>
      </c>
      <c r="E938" s="111" t="s">
        <v>1717</v>
      </c>
      <c r="F938" s="111"/>
      <c r="G938" s="110" t="s">
        <v>2073</v>
      </c>
      <c r="H938" s="141">
        <v>462.76692800000001</v>
      </c>
      <c r="I938" s="280"/>
      <c r="J938" s="72">
        <v>148.52000000000001</v>
      </c>
      <c r="K938" s="271">
        <f t="shared" si="45"/>
        <v>68730.144146560007</v>
      </c>
      <c r="L938" s="111"/>
      <c r="M938" s="73"/>
      <c r="N938" s="112"/>
      <c r="O938" s="111"/>
      <c r="P938" s="312">
        <v>0</v>
      </c>
      <c r="Q938" s="288">
        <f t="shared" si="46"/>
        <v>0</v>
      </c>
      <c r="R938" s="118">
        <v>0</v>
      </c>
      <c r="S938" s="283">
        <v>2016</v>
      </c>
      <c r="T938" s="288">
        <f t="shared" si="44"/>
        <v>74475</v>
      </c>
    </row>
    <row r="939" spans="2:20">
      <c r="B939" s="386" t="s">
        <v>1044</v>
      </c>
      <c r="C939" s="114"/>
      <c r="D939" s="111" t="s">
        <v>1547</v>
      </c>
      <c r="E939" s="111" t="s">
        <v>1871</v>
      </c>
      <c r="F939" s="111"/>
      <c r="G939" s="110" t="s">
        <v>2073</v>
      </c>
      <c r="H939" s="141">
        <v>1277.0109520000001</v>
      </c>
      <c r="I939" s="280"/>
      <c r="J939" s="72">
        <v>148.52000000000001</v>
      </c>
      <c r="K939" s="271">
        <f t="shared" si="45"/>
        <v>189661.66659104003</v>
      </c>
      <c r="L939" s="111"/>
      <c r="M939" s="73"/>
      <c r="N939" s="112"/>
      <c r="O939" s="111"/>
      <c r="P939" s="312">
        <v>0</v>
      </c>
      <c r="Q939" s="288">
        <f t="shared" si="46"/>
        <v>0</v>
      </c>
      <c r="R939" s="118">
        <v>0</v>
      </c>
      <c r="S939" s="283">
        <v>2016</v>
      </c>
      <c r="T939" s="288">
        <f t="shared" si="44"/>
        <v>205515</v>
      </c>
    </row>
    <row r="940" spans="2:20">
      <c r="B940" s="386" t="s">
        <v>1045</v>
      </c>
      <c r="C940" s="114"/>
      <c r="D940" s="111" t="s">
        <v>1547</v>
      </c>
      <c r="E940" s="111" t="s">
        <v>1872</v>
      </c>
      <c r="F940" s="111"/>
      <c r="G940" s="110" t="s">
        <v>2073</v>
      </c>
      <c r="H940" s="141">
        <v>1976.980458</v>
      </c>
      <c r="I940" s="280"/>
      <c r="J940" s="72">
        <v>148.52000000000001</v>
      </c>
      <c r="K940" s="271">
        <f t="shared" si="45"/>
        <v>293621.13762216002</v>
      </c>
      <c r="L940" s="111"/>
      <c r="M940" s="73"/>
      <c r="N940" s="112"/>
      <c r="O940" s="111"/>
      <c r="P940" s="312">
        <v>0</v>
      </c>
      <c r="Q940" s="288">
        <f t="shared" si="46"/>
        <v>0</v>
      </c>
      <c r="R940" s="118">
        <v>0</v>
      </c>
      <c r="S940" s="283">
        <v>2016</v>
      </c>
      <c r="T940" s="288">
        <f t="shared" si="44"/>
        <v>318165</v>
      </c>
    </row>
    <row r="941" spans="2:20">
      <c r="B941" s="386" t="s">
        <v>1046</v>
      </c>
      <c r="C941" s="114"/>
      <c r="D941" s="111" t="s">
        <v>1547</v>
      </c>
      <c r="E941" s="111" t="s">
        <v>1873</v>
      </c>
      <c r="F941" s="111"/>
      <c r="G941" s="110" t="s">
        <v>2073</v>
      </c>
      <c r="H941" s="141">
        <v>607.53548799999999</v>
      </c>
      <c r="I941" s="280"/>
      <c r="J941" s="72">
        <v>148.52000000000001</v>
      </c>
      <c r="K941" s="271">
        <f t="shared" si="45"/>
        <v>90231.170677760005</v>
      </c>
      <c r="L941" s="111"/>
      <c r="M941" s="73"/>
      <c r="N941" s="112"/>
      <c r="O941" s="111"/>
      <c r="P941" s="312">
        <v>0</v>
      </c>
      <c r="Q941" s="288">
        <f t="shared" si="46"/>
        <v>0</v>
      </c>
      <c r="R941" s="118">
        <v>0</v>
      </c>
      <c r="S941" s="283">
        <v>2016</v>
      </c>
      <c r="T941" s="288">
        <f t="shared" si="44"/>
        <v>97774</v>
      </c>
    </row>
    <row r="942" spans="2:20">
      <c r="B942" s="386" t="s">
        <v>1047</v>
      </c>
      <c r="C942" s="114"/>
      <c r="D942" s="111" t="s">
        <v>1546</v>
      </c>
      <c r="E942" s="111" t="s">
        <v>1874</v>
      </c>
      <c r="F942" s="111"/>
      <c r="G942" s="110" t="s">
        <v>2073</v>
      </c>
      <c r="H942" s="141">
        <v>352.43520100000001</v>
      </c>
      <c r="I942" s="280"/>
      <c r="J942" s="72">
        <v>148.52000000000001</v>
      </c>
      <c r="K942" s="271">
        <f t="shared" si="45"/>
        <v>52343.676052520008</v>
      </c>
      <c r="L942" s="111"/>
      <c r="M942" s="73"/>
      <c r="N942" s="112"/>
      <c r="O942" s="111"/>
      <c r="P942" s="312">
        <v>0</v>
      </c>
      <c r="Q942" s="288">
        <f t="shared" si="46"/>
        <v>0</v>
      </c>
      <c r="R942" s="118">
        <v>0</v>
      </c>
      <c r="S942" s="283">
        <v>2016</v>
      </c>
      <c r="T942" s="288">
        <f t="shared" si="44"/>
        <v>56719</v>
      </c>
    </row>
    <row r="943" spans="2:20">
      <c r="B943" s="386" t="s">
        <v>1048</v>
      </c>
      <c r="C943" s="114"/>
      <c r="D943" s="111" t="s">
        <v>1546</v>
      </c>
      <c r="E943" s="111" t="s">
        <v>1874</v>
      </c>
      <c r="F943" s="111"/>
      <c r="G943" s="110" t="s">
        <v>2073</v>
      </c>
      <c r="H943" s="141">
        <v>274.52855299999999</v>
      </c>
      <c r="I943" s="280"/>
      <c r="J943" s="72">
        <v>148.52000000000001</v>
      </c>
      <c r="K943" s="271">
        <f t="shared" si="45"/>
        <v>40772.980691559998</v>
      </c>
      <c r="L943" s="111"/>
      <c r="M943" s="73"/>
      <c r="N943" s="112"/>
      <c r="O943" s="111"/>
      <c r="P943" s="312">
        <v>0</v>
      </c>
      <c r="Q943" s="288">
        <f t="shared" si="46"/>
        <v>0</v>
      </c>
      <c r="R943" s="118">
        <v>0</v>
      </c>
      <c r="S943" s="283">
        <v>2016</v>
      </c>
      <c r="T943" s="288">
        <f t="shared" si="44"/>
        <v>44181</v>
      </c>
    </row>
    <row r="944" spans="2:20">
      <c r="B944" s="386" t="s">
        <v>1049</v>
      </c>
      <c r="C944" s="114"/>
      <c r="D944" s="111" t="s">
        <v>1546</v>
      </c>
      <c r="E944" s="111" t="s">
        <v>1874</v>
      </c>
      <c r="F944" s="111"/>
      <c r="G944" s="110" t="s">
        <v>2073</v>
      </c>
      <c r="H944" s="141">
        <v>58.092906999999997</v>
      </c>
      <c r="I944" s="280"/>
      <c r="J944" s="72">
        <v>148.52000000000001</v>
      </c>
      <c r="K944" s="271">
        <f t="shared" si="45"/>
        <v>8627.9585476400007</v>
      </c>
      <c r="L944" s="111"/>
      <c r="M944" s="73"/>
      <c r="N944" s="112"/>
      <c r="O944" s="111"/>
      <c r="P944" s="312">
        <v>0</v>
      </c>
      <c r="Q944" s="288">
        <f t="shared" si="46"/>
        <v>0</v>
      </c>
      <c r="R944" s="118">
        <v>0</v>
      </c>
      <c r="S944" s="283">
        <v>2016</v>
      </c>
      <c r="T944" s="288">
        <f t="shared" si="44"/>
        <v>9349</v>
      </c>
    </row>
    <row r="945" spans="2:20">
      <c r="B945" s="386" t="s">
        <v>1050</v>
      </c>
      <c r="C945" s="114"/>
      <c r="D945" s="111" t="s">
        <v>1547</v>
      </c>
      <c r="E945" s="111" t="s">
        <v>1874</v>
      </c>
      <c r="F945" s="111"/>
      <c r="G945" s="110" t="s">
        <v>2073</v>
      </c>
      <c r="H945" s="141">
        <v>512.143102</v>
      </c>
      <c r="I945" s="280"/>
      <c r="J945" s="72">
        <v>148.52000000000001</v>
      </c>
      <c r="K945" s="271">
        <f t="shared" si="45"/>
        <v>76063.49350904001</v>
      </c>
      <c r="L945" s="111"/>
      <c r="M945" s="73"/>
      <c r="N945" s="112"/>
      <c r="O945" s="111"/>
      <c r="P945" s="312">
        <v>0</v>
      </c>
      <c r="Q945" s="288">
        <f t="shared" si="46"/>
        <v>0</v>
      </c>
      <c r="R945" s="118">
        <v>0</v>
      </c>
      <c r="S945" s="283">
        <v>2016</v>
      </c>
      <c r="T945" s="288">
        <f t="shared" si="44"/>
        <v>82422</v>
      </c>
    </row>
    <row r="946" spans="2:20">
      <c r="B946" s="386" t="s">
        <v>1051</v>
      </c>
      <c r="C946" s="114"/>
      <c r="D946" s="111" t="s">
        <v>1547</v>
      </c>
      <c r="E946" s="111" t="s">
        <v>1875</v>
      </c>
      <c r="F946" s="111"/>
      <c r="G946" s="110" t="s">
        <v>2073</v>
      </c>
      <c r="H946" s="141">
        <v>253.069175</v>
      </c>
      <c r="I946" s="280"/>
      <c r="J946" s="72">
        <v>148.52000000000001</v>
      </c>
      <c r="K946" s="271">
        <f t="shared" si="45"/>
        <v>37585.833871000003</v>
      </c>
      <c r="L946" s="111"/>
      <c r="M946" s="73"/>
      <c r="N946" s="112"/>
      <c r="O946" s="111"/>
      <c r="P946" s="312">
        <v>0</v>
      </c>
      <c r="Q946" s="288">
        <f t="shared" si="46"/>
        <v>0</v>
      </c>
      <c r="R946" s="118">
        <v>0</v>
      </c>
      <c r="S946" s="283">
        <v>2016</v>
      </c>
      <c r="T946" s="288">
        <f t="shared" si="44"/>
        <v>40728</v>
      </c>
    </row>
    <row r="947" spans="2:20">
      <c r="B947" s="386" t="s">
        <v>1052</v>
      </c>
      <c r="C947" s="114"/>
      <c r="D947" s="111" t="s">
        <v>1547</v>
      </c>
      <c r="E947" s="111" t="s">
        <v>1876</v>
      </c>
      <c r="F947" s="111"/>
      <c r="G947" s="110" t="s">
        <v>2073</v>
      </c>
      <c r="H947" s="141">
        <v>9.6158619999999999</v>
      </c>
      <c r="I947" s="280"/>
      <c r="J947" s="72">
        <v>148.52000000000001</v>
      </c>
      <c r="K947" s="271">
        <f t="shared" si="45"/>
        <v>1428.1478242400001</v>
      </c>
      <c r="L947" s="111"/>
      <c r="M947" s="73"/>
      <c r="N947" s="112"/>
      <c r="O947" s="111"/>
      <c r="P947" s="312">
        <v>0</v>
      </c>
      <c r="Q947" s="288">
        <f t="shared" si="46"/>
        <v>0</v>
      </c>
      <c r="R947" s="118">
        <v>0</v>
      </c>
      <c r="S947" s="283">
        <v>2016</v>
      </c>
      <c r="T947" s="288">
        <f t="shared" si="44"/>
        <v>1548</v>
      </c>
    </row>
    <row r="948" spans="2:20">
      <c r="B948" s="386" t="s">
        <v>1053</v>
      </c>
      <c r="C948" s="114"/>
      <c r="D948" s="111" t="s">
        <v>1547</v>
      </c>
      <c r="E948" s="111" t="s">
        <v>1876</v>
      </c>
      <c r="F948" s="111"/>
      <c r="G948" s="110" t="s">
        <v>2073</v>
      </c>
      <c r="H948" s="141">
        <v>31.116828000000002</v>
      </c>
      <c r="I948" s="280"/>
      <c r="J948" s="72">
        <v>148.52000000000001</v>
      </c>
      <c r="K948" s="271">
        <f t="shared" si="45"/>
        <v>4621.4712945600004</v>
      </c>
      <c r="L948" s="111"/>
      <c r="M948" s="73"/>
      <c r="N948" s="112"/>
      <c r="O948" s="111"/>
      <c r="P948" s="312">
        <v>0</v>
      </c>
      <c r="Q948" s="288">
        <f t="shared" si="46"/>
        <v>0</v>
      </c>
      <c r="R948" s="118">
        <v>0</v>
      </c>
      <c r="S948" s="283">
        <v>2016</v>
      </c>
      <c r="T948" s="288">
        <f t="shared" si="44"/>
        <v>5008</v>
      </c>
    </row>
    <row r="949" spans="2:20">
      <c r="B949" s="386" t="s">
        <v>1054</v>
      </c>
      <c r="C949" s="114"/>
      <c r="D949" s="111" t="s">
        <v>1547</v>
      </c>
      <c r="E949" s="111" t="s">
        <v>1876</v>
      </c>
      <c r="F949" s="111"/>
      <c r="G949" s="110" t="s">
        <v>2073</v>
      </c>
      <c r="H949" s="141">
        <v>128.74813499999999</v>
      </c>
      <c r="I949" s="280"/>
      <c r="J949" s="72">
        <v>148.52000000000001</v>
      </c>
      <c r="K949" s="271">
        <f t="shared" si="45"/>
        <v>19121.6730102</v>
      </c>
      <c r="L949" s="111"/>
      <c r="M949" s="73"/>
      <c r="N949" s="112"/>
      <c r="O949" s="111"/>
      <c r="P949" s="312">
        <v>0</v>
      </c>
      <c r="Q949" s="288">
        <f t="shared" si="46"/>
        <v>0</v>
      </c>
      <c r="R949" s="118">
        <v>0</v>
      </c>
      <c r="S949" s="283">
        <v>2016</v>
      </c>
      <c r="T949" s="288">
        <f t="shared" si="44"/>
        <v>20720</v>
      </c>
    </row>
    <row r="950" spans="2:20">
      <c r="B950" s="386" t="s">
        <v>1055</v>
      </c>
      <c r="C950" s="114"/>
      <c r="D950" s="111" t="s">
        <v>1547</v>
      </c>
      <c r="E950" s="111" t="s">
        <v>1876</v>
      </c>
      <c r="F950" s="111"/>
      <c r="G950" s="110" t="s">
        <v>2073</v>
      </c>
      <c r="H950" s="141">
        <v>279.37856699999998</v>
      </c>
      <c r="I950" s="280"/>
      <c r="J950" s="72">
        <v>148.52000000000001</v>
      </c>
      <c r="K950" s="271">
        <f t="shared" si="45"/>
        <v>41493.304770839997</v>
      </c>
      <c r="L950" s="111"/>
      <c r="M950" s="73"/>
      <c r="N950" s="112"/>
      <c r="O950" s="111"/>
      <c r="P950" s="312">
        <v>0</v>
      </c>
      <c r="Q950" s="288">
        <f t="shared" si="46"/>
        <v>0</v>
      </c>
      <c r="R950" s="118">
        <v>0</v>
      </c>
      <c r="S950" s="283">
        <v>2016</v>
      </c>
      <c r="T950" s="288">
        <f t="shared" si="44"/>
        <v>44962</v>
      </c>
    </row>
    <row r="951" spans="2:20">
      <c r="B951" s="386" t="s">
        <v>1056</v>
      </c>
      <c r="C951" s="114"/>
      <c r="D951" s="111" t="s">
        <v>1546</v>
      </c>
      <c r="E951" s="111" t="s">
        <v>1877</v>
      </c>
      <c r="F951" s="111"/>
      <c r="G951" s="110" t="s">
        <v>2073</v>
      </c>
      <c r="H951" s="141">
        <v>1535.931022</v>
      </c>
      <c r="I951" s="280"/>
      <c r="J951" s="72">
        <v>148.52000000000001</v>
      </c>
      <c r="K951" s="271">
        <f t="shared" si="45"/>
        <v>228116.47538744</v>
      </c>
      <c r="L951" s="111"/>
      <c r="M951" s="73"/>
      <c r="N951" s="112"/>
      <c r="O951" s="111"/>
      <c r="P951" s="312">
        <v>0</v>
      </c>
      <c r="Q951" s="288">
        <f t="shared" si="46"/>
        <v>0</v>
      </c>
      <c r="R951" s="118">
        <v>0</v>
      </c>
      <c r="S951" s="283">
        <v>2016</v>
      </c>
      <c r="T951" s="288">
        <f t="shared" si="44"/>
        <v>247185</v>
      </c>
    </row>
    <row r="952" spans="2:20">
      <c r="B952" s="386" t="s">
        <v>1057</v>
      </c>
      <c r="C952" s="114"/>
      <c r="D952" s="111" t="s">
        <v>1547</v>
      </c>
      <c r="E952" s="111" t="s">
        <v>1878</v>
      </c>
      <c r="F952" s="111"/>
      <c r="G952" s="110" t="s">
        <v>2073</v>
      </c>
      <c r="H952" s="141">
        <v>1691.746858</v>
      </c>
      <c r="I952" s="280"/>
      <c r="J952" s="72">
        <v>148.52000000000001</v>
      </c>
      <c r="K952" s="271">
        <f t="shared" si="45"/>
        <v>251258.24335016002</v>
      </c>
      <c r="L952" s="111"/>
      <c r="M952" s="73"/>
      <c r="N952" s="112"/>
      <c r="O952" s="111"/>
      <c r="P952" s="312">
        <v>0</v>
      </c>
      <c r="Q952" s="288">
        <f t="shared" si="46"/>
        <v>0</v>
      </c>
      <c r="R952" s="118">
        <v>0</v>
      </c>
      <c r="S952" s="283">
        <v>2016</v>
      </c>
      <c r="T952" s="288">
        <f t="shared" si="44"/>
        <v>272261</v>
      </c>
    </row>
    <row r="953" spans="2:20">
      <c r="B953" s="386" t="s">
        <v>1058</v>
      </c>
      <c r="C953" s="114"/>
      <c r="D953" s="111" t="s">
        <v>1546</v>
      </c>
      <c r="E953" s="111" t="s">
        <v>42</v>
      </c>
      <c r="F953" s="111"/>
      <c r="G953" s="110" t="s">
        <v>2073</v>
      </c>
      <c r="H953" s="141">
        <v>126.30629999999999</v>
      </c>
      <c r="I953" s="280"/>
      <c r="J953" s="72">
        <v>148.52000000000001</v>
      </c>
      <c r="K953" s="271">
        <f t="shared" si="45"/>
        <v>18759.011676000002</v>
      </c>
      <c r="L953" s="111"/>
      <c r="M953" s="73"/>
      <c r="N953" s="112"/>
      <c r="O953" s="111"/>
      <c r="P953" s="312">
        <v>0</v>
      </c>
      <c r="Q953" s="288">
        <f t="shared" si="46"/>
        <v>0</v>
      </c>
      <c r="R953" s="118">
        <v>0</v>
      </c>
      <c r="S953" s="283">
        <v>2016</v>
      </c>
      <c r="T953" s="288">
        <f t="shared" si="44"/>
        <v>20327</v>
      </c>
    </row>
    <row r="954" spans="2:20">
      <c r="B954" s="386" t="s">
        <v>1059</v>
      </c>
      <c r="C954" s="114"/>
      <c r="D954" s="111" t="s">
        <v>1546</v>
      </c>
      <c r="E954" s="111" t="s">
        <v>1880</v>
      </c>
      <c r="F954" s="111"/>
      <c r="G954" s="110" t="s">
        <v>2073</v>
      </c>
      <c r="H954" s="141">
        <v>509.79437300000001</v>
      </c>
      <c r="I954" s="280"/>
      <c r="J954" s="72">
        <v>148.52000000000001</v>
      </c>
      <c r="K954" s="271">
        <f t="shared" si="45"/>
        <v>75714.660277960007</v>
      </c>
      <c r="L954" s="111"/>
      <c r="M954" s="73"/>
      <c r="N954" s="112"/>
      <c r="O954" s="111"/>
      <c r="P954" s="312">
        <v>0</v>
      </c>
      <c r="Q954" s="288">
        <f t="shared" si="46"/>
        <v>0</v>
      </c>
      <c r="R954" s="118">
        <v>0</v>
      </c>
      <c r="S954" s="283">
        <v>2016</v>
      </c>
      <c r="T954" s="288">
        <f t="shared" si="44"/>
        <v>82044</v>
      </c>
    </row>
    <row r="955" spans="2:20">
      <c r="B955" s="386" t="s">
        <v>1060</v>
      </c>
      <c r="C955" s="114"/>
      <c r="D955" s="111" t="s">
        <v>1546</v>
      </c>
      <c r="E955" s="111" t="s">
        <v>1880</v>
      </c>
      <c r="F955" s="111"/>
      <c r="G955" s="110" t="s">
        <v>2073</v>
      </c>
      <c r="H955" s="141">
        <v>313.34801499999998</v>
      </c>
      <c r="I955" s="280"/>
      <c r="J955" s="72">
        <v>148.52000000000001</v>
      </c>
      <c r="K955" s="271">
        <f t="shared" si="45"/>
        <v>46538.447187799997</v>
      </c>
      <c r="L955" s="111"/>
      <c r="M955" s="73"/>
      <c r="N955" s="112"/>
      <c r="O955" s="111"/>
      <c r="P955" s="312">
        <v>0</v>
      </c>
      <c r="Q955" s="288">
        <f t="shared" si="46"/>
        <v>0</v>
      </c>
      <c r="R955" s="118">
        <v>0</v>
      </c>
      <c r="S955" s="283">
        <v>2016</v>
      </c>
      <c r="T955" s="288">
        <f t="shared" si="44"/>
        <v>50429</v>
      </c>
    </row>
    <row r="956" spans="2:20">
      <c r="B956" s="386" t="s">
        <v>1061</v>
      </c>
      <c r="C956" s="114"/>
      <c r="D956" s="111" t="s">
        <v>1546</v>
      </c>
      <c r="E956" s="111" t="s">
        <v>1880</v>
      </c>
      <c r="F956" s="111"/>
      <c r="G956" s="110" t="s">
        <v>2073</v>
      </c>
      <c r="H956" s="141">
        <v>155.475424</v>
      </c>
      <c r="I956" s="280"/>
      <c r="J956" s="72">
        <v>148.52000000000001</v>
      </c>
      <c r="K956" s="271">
        <f t="shared" si="45"/>
        <v>23091.209972480003</v>
      </c>
      <c r="L956" s="111"/>
      <c r="M956" s="73"/>
      <c r="N956" s="112"/>
      <c r="O956" s="111"/>
      <c r="P956" s="312">
        <v>0</v>
      </c>
      <c r="Q956" s="288">
        <f t="shared" si="46"/>
        <v>0</v>
      </c>
      <c r="R956" s="118">
        <v>0</v>
      </c>
      <c r="S956" s="283">
        <v>2016</v>
      </c>
      <c r="T956" s="288">
        <f t="shared" si="44"/>
        <v>25021</v>
      </c>
    </row>
    <row r="957" spans="2:20">
      <c r="B957" s="386" t="s">
        <v>1062</v>
      </c>
      <c r="C957" s="114"/>
      <c r="D957" s="111" t="s">
        <v>1546</v>
      </c>
      <c r="E957" s="111" t="s">
        <v>1880</v>
      </c>
      <c r="F957" s="111"/>
      <c r="G957" s="110" t="s">
        <v>2073</v>
      </c>
      <c r="H957" s="141">
        <v>154.92854399999999</v>
      </c>
      <c r="I957" s="280"/>
      <c r="J957" s="72">
        <v>148.52000000000001</v>
      </c>
      <c r="K957" s="271">
        <f t="shared" si="45"/>
        <v>23009.987354879999</v>
      </c>
      <c r="L957" s="111"/>
      <c r="M957" s="73"/>
      <c r="N957" s="112"/>
      <c r="O957" s="111"/>
      <c r="P957" s="312">
        <v>0</v>
      </c>
      <c r="Q957" s="288">
        <f t="shared" si="46"/>
        <v>0</v>
      </c>
      <c r="R957" s="118">
        <v>0</v>
      </c>
      <c r="S957" s="283">
        <v>2016</v>
      </c>
      <c r="T957" s="288">
        <f t="shared" si="44"/>
        <v>24933</v>
      </c>
    </row>
    <row r="958" spans="2:20">
      <c r="B958" s="386" t="s">
        <v>1063</v>
      </c>
      <c r="C958" s="114"/>
      <c r="D958" s="111" t="s">
        <v>1546</v>
      </c>
      <c r="E958" s="111" t="s">
        <v>1880</v>
      </c>
      <c r="F958" s="111"/>
      <c r="G958" s="110" t="s">
        <v>2073</v>
      </c>
      <c r="H958" s="141">
        <v>202.702224</v>
      </c>
      <c r="I958" s="280"/>
      <c r="J958" s="72">
        <v>148.52000000000001</v>
      </c>
      <c r="K958" s="271">
        <f t="shared" si="45"/>
        <v>30105.334308480004</v>
      </c>
      <c r="L958" s="111"/>
      <c r="M958" s="73"/>
      <c r="N958" s="112"/>
      <c r="O958" s="111"/>
      <c r="P958" s="312">
        <v>0</v>
      </c>
      <c r="Q958" s="288">
        <f t="shared" si="46"/>
        <v>0</v>
      </c>
      <c r="R958" s="118">
        <v>0</v>
      </c>
      <c r="S958" s="283">
        <v>2016</v>
      </c>
      <c r="T958" s="288">
        <f t="shared" si="44"/>
        <v>32622</v>
      </c>
    </row>
    <row r="959" spans="2:20">
      <c r="B959" s="386" t="s">
        <v>1064</v>
      </c>
      <c r="C959" s="114"/>
      <c r="D959" s="111" t="s">
        <v>1547</v>
      </c>
      <c r="E959" s="111" t="s">
        <v>1880</v>
      </c>
      <c r="F959" s="111"/>
      <c r="G959" s="110" t="s">
        <v>2073</v>
      </c>
      <c r="H959" s="141">
        <v>258.546785</v>
      </c>
      <c r="I959" s="280"/>
      <c r="J959" s="72">
        <v>148.52000000000001</v>
      </c>
      <c r="K959" s="271">
        <f t="shared" si="45"/>
        <v>38399.368508200001</v>
      </c>
      <c r="L959" s="111"/>
      <c r="M959" s="73"/>
      <c r="N959" s="112"/>
      <c r="O959" s="111"/>
      <c r="P959" s="312">
        <v>0</v>
      </c>
      <c r="Q959" s="288">
        <f t="shared" si="46"/>
        <v>0</v>
      </c>
      <c r="R959" s="118">
        <v>0</v>
      </c>
      <c r="S959" s="283">
        <v>2016</v>
      </c>
      <c r="T959" s="288">
        <f t="shared" si="44"/>
        <v>41609</v>
      </c>
    </row>
    <row r="960" spans="2:20">
      <c r="B960" s="386" t="s">
        <v>1065</v>
      </c>
      <c r="C960" s="114"/>
      <c r="D960" s="111" t="s">
        <v>1547</v>
      </c>
      <c r="E960" s="111" t="s">
        <v>1880</v>
      </c>
      <c r="F960" s="111"/>
      <c r="G960" s="110" t="s">
        <v>2073</v>
      </c>
      <c r="H960" s="141">
        <v>229.052888</v>
      </c>
      <c r="I960" s="280"/>
      <c r="J960" s="72">
        <v>148.52000000000001</v>
      </c>
      <c r="K960" s="271">
        <f t="shared" si="45"/>
        <v>34018.934925760004</v>
      </c>
      <c r="L960" s="111"/>
      <c r="M960" s="73"/>
      <c r="N960" s="112"/>
      <c r="O960" s="111"/>
      <c r="P960" s="312">
        <v>0</v>
      </c>
      <c r="Q960" s="288">
        <f t="shared" si="46"/>
        <v>0</v>
      </c>
      <c r="R960" s="118">
        <v>0</v>
      </c>
      <c r="S960" s="283">
        <v>2016</v>
      </c>
      <c r="T960" s="288">
        <f t="shared" si="44"/>
        <v>36863</v>
      </c>
    </row>
    <row r="961" spans="2:20">
      <c r="B961" s="386" t="s">
        <v>1066</v>
      </c>
      <c r="C961" s="114"/>
      <c r="D961" s="111" t="s">
        <v>1547</v>
      </c>
      <c r="E961" s="111" t="s">
        <v>1880</v>
      </c>
      <c r="F961" s="111"/>
      <c r="G961" s="110" t="s">
        <v>2073</v>
      </c>
      <c r="H961" s="141">
        <v>245.993877</v>
      </c>
      <c r="I961" s="280"/>
      <c r="J961" s="72">
        <v>148.52000000000001</v>
      </c>
      <c r="K961" s="271">
        <f t="shared" si="45"/>
        <v>36535.010612040001</v>
      </c>
      <c r="L961" s="111"/>
      <c r="M961" s="73"/>
      <c r="N961" s="112"/>
      <c r="O961" s="111"/>
      <c r="P961" s="312">
        <v>0</v>
      </c>
      <c r="Q961" s="288">
        <f t="shared" si="46"/>
        <v>0</v>
      </c>
      <c r="R961" s="118">
        <v>0</v>
      </c>
      <c r="S961" s="283">
        <v>2016</v>
      </c>
      <c r="T961" s="288">
        <f t="shared" si="44"/>
        <v>39589</v>
      </c>
    </row>
    <row r="962" spans="2:20">
      <c r="B962" s="386" t="s">
        <v>1067</v>
      </c>
      <c r="C962" s="114"/>
      <c r="D962" s="111" t="s">
        <v>1546</v>
      </c>
      <c r="E962" s="111" t="s">
        <v>1748</v>
      </c>
      <c r="F962" s="111"/>
      <c r="G962" s="110" t="s">
        <v>2073</v>
      </c>
      <c r="H962" s="141">
        <v>59.718750999999997</v>
      </c>
      <c r="I962" s="280"/>
      <c r="J962" s="72">
        <v>148.52000000000001</v>
      </c>
      <c r="K962" s="271">
        <f t="shared" si="45"/>
        <v>8869.4288985200001</v>
      </c>
      <c r="L962" s="111"/>
      <c r="M962" s="73"/>
      <c r="N962" s="112"/>
      <c r="O962" s="111"/>
      <c r="P962" s="312">
        <v>0</v>
      </c>
      <c r="Q962" s="288">
        <f t="shared" si="46"/>
        <v>0</v>
      </c>
      <c r="R962" s="118">
        <v>0</v>
      </c>
      <c r="S962" s="283">
        <v>2016</v>
      </c>
      <c r="T962" s="288">
        <f t="shared" si="44"/>
        <v>9611</v>
      </c>
    </row>
    <row r="963" spans="2:20">
      <c r="B963" s="386" t="s">
        <v>1068</v>
      </c>
      <c r="C963" s="114"/>
      <c r="D963" s="111" t="s">
        <v>1546</v>
      </c>
      <c r="E963" s="111" t="s">
        <v>1748</v>
      </c>
      <c r="F963" s="111"/>
      <c r="G963" s="110" t="s">
        <v>2073</v>
      </c>
      <c r="H963" s="141">
        <v>156.126901</v>
      </c>
      <c r="I963" s="280"/>
      <c r="J963" s="72">
        <v>148.52000000000001</v>
      </c>
      <c r="K963" s="271">
        <f t="shared" si="45"/>
        <v>23187.967336520003</v>
      </c>
      <c r="L963" s="111"/>
      <c r="M963" s="73"/>
      <c r="N963" s="112"/>
      <c r="O963" s="111"/>
      <c r="P963" s="312">
        <v>0</v>
      </c>
      <c r="Q963" s="288">
        <f t="shared" si="46"/>
        <v>0</v>
      </c>
      <c r="R963" s="118">
        <v>0</v>
      </c>
      <c r="S963" s="283">
        <v>2016</v>
      </c>
      <c r="T963" s="288">
        <f t="shared" si="44"/>
        <v>25126</v>
      </c>
    </row>
    <row r="964" spans="2:20">
      <c r="B964" s="386" t="s">
        <v>1069</v>
      </c>
      <c r="C964" s="114"/>
      <c r="D964" s="111" t="s">
        <v>1546</v>
      </c>
      <c r="E964" s="111" t="s">
        <v>1748</v>
      </c>
      <c r="F964" s="111"/>
      <c r="G964" s="110" t="s">
        <v>2073</v>
      </c>
      <c r="H964" s="141">
        <v>105.874359</v>
      </c>
      <c r="I964" s="280"/>
      <c r="J964" s="72">
        <v>148.52000000000001</v>
      </c>
      <c r="K964" s="271">
        <f t="shared" si="45"/>
        <v>15724.45979868</v>
      </c>
      <c r="L964" s="111"/>
      <c r="M964" s="73"/>
      <c r="N964" s="112"/>
      <c r="O964" s="111"/>
      <c r="P964" s="312">
        <v>0</v>
      </c>
      <c r="Q964" s="288">
        <f t="shared" si="46"/>
        <v>0</v>
      </c>
      <c r="R964" s="118">
        <v>0</v>
      </c>
      <c r="S964" s="283">
        <v>2016</v>
      </c>
      <c r="T964" s="288">
        <f t="shared" si="44"/>
        <v>17039</v>
      </c>
    </row>
    <row r="965" spans="2:20">
      <c r="B965" s="386" t="s">
        <v>1070</v>
      </c>
      <c r="C965" s="114"/>
      <c r="D965" s="111" t="s">
        <v>1546</v>
      </c>
      <c r="E965" s="111" t="s">
        <v>1748</v>
      </c>
      <c r="F965" s="111"/>
      <c r="G965" s="110" t="s">
        <v>2073</v>
      </c>
      <c r="H965" s="141">
        <v>28.892545999999999</v>
      </c>
      <c r="I965" s="280"/>
      <c r="J965" s="72">
        <v>148.52000000000001</v>
      </c>
      <c r="K965" s="271">
        <f t="shared" si="45"/>
        <v>4291.1209319200007</v>
      </c>
      <c r="L965" s="111"/>
      <c r="M965" s="73"/>
      <c r="N965" s="112"/>
      <c r="O965" s="111"/>
      <c r="P965" s="312">
        <v>0</v>
      </c>
      <c r="Q965" s="288">
        <f t="shared" si="46"/>
        <v>0</v>
      </c>
      <c r="R965" s="118">
        <v>0</v>
      </c>
      <c r="S965" s="283">
        <v>2016</v>
      </c>
      <c r="T965" s="288">
        <f t="shared" si="44"/>
        <v>4650</v>
      </c>
    </row>
    <row r="966" spans="2:20">
      <c r="B966" s="386" t="s">
        <v>1071</v>
      </c>
      <c r="C966" s="114"/>
      <c r="D966" s="111" t="s">
        <v>1547</v>
      </c>
      <c r="E966" s="111" t="s">
        <v>1881</v>
      </c>
      <c r="F966" s="111"/>
      <c r="G966" s="110" t="s">
        <v>2073</v>
      </c>
      <c r="H966" s="141">
        <v>492.87438700000001</v>
      </c>
      <c r="I966" s="280"/>
      <c r="J966" s="72">
        <v>148.52000000000001</v>
      </c>
      <c r="K966" s="271">
        <f t="shared" si="45"/>
        <v>73201.70395724001</v>
      </c>
      <c r="L966" s="111"/>
      <c r="M966" s="73"/>
      <c r="N966" s="112"/>
      <c r="O966" s="111"/>
      <c r="P966" s="312">
        <v>0</v>
      </c>
      <c r="Q966" s="288">
        <f t="shared" si="46"/>
        <v>0</v>
      </c>
      <c r="R966" s="118">
        <v>0</v>
      </c>
      <c r="S966" s="283">
        <v>2016</v>
      </c>
      <c r="T966" s="288">
        <f t="shared" si="44"/>
        <v>79321</v>
      </c>
    </row>
    <row r="967" spans="2:20">
      <c r="B967" s="386" t="s">
        <v>1072</v>
      </c>
      <c r="C967" s="114"/>
      <c r="D967" s="111" t="s">
        <v>1547</v>
      </c>
      <c r="E967" s="111" t="s">
        <v>1881</v>
      </c>
      <c r="F967" s="111"/>
      <c r="G967" s="110" t="s">
        <v>2073</v>
      </c>
      <c r="H967" s="141">
        <v>68.534993999999998</v>
      </c>
      <c r="I967" s="280"/>
      <c r="J967" s="72">
        <v>148.52000000000001</v>
      </c>
      <c r="K967" s="271">
        <f t="shared" si="45"/>
        <v>10178.817308879999</v>
      </c>
      <c r="L967" s="111"/>
      <c r="M967" s="73"/>
      <c r="N967" s="112"/>
      <c r="O967" s="111"/>
      <c r="P967" s="312">
        <v>0</v>
      </c>
      <c r="Q967" s="288">
        <f t="shared" si="46"/>
        <v>0</v>
      </c>
      <c r="R967" s="118">
        <v>0</v>
      </c>
      <c r="S967" s="283">
        <v>2016</v>
      </c>
      <c r="T967" s="288">
        <f t="shared" si="44"/>
        <v>11030</v>
      </c>
    </row>
    <row r="968" spans="2:20">
      <c r="B968" s="386" t="s">
        <v>1073</v>
      </c>
      <c r="C968" s="114"/>
      <c r="D968" s="111" t="s">
        <v>1547</v>
      </c>
      <c r="E968" s="111" t="s">
        <v>1882</v>
      </c>
      <c r="F968" s="111"/>
      <c r="G968" s="110" t="s">
        <v>2073</v>
      </c>
      <c r="H968" s="141">
        <v>568.42183</v>
      </c>
      <c r="I968" s="280"/>
      <c r="J968" s="72">
        <v>148.52000000000001</v>
      </c>
      <c r="K968" s="271">
        <f t="shared" si="45"/>
        <v>84422.010191600013</v>
      </c>
      <c r="L968" s="111"/>
      <c r="M968" s="73"/>
      <c r="N968" s="112"/>
      <c r="O968" s="111"/>
      <c r="P968" s="312">
        <v>0</v>
      </c>
      <c r="Q968" s="288">
        <f t="shared" si="46"/>
        <v>0</v>
      </c>
      <c r="R968" s="118">
        <v>0</v>
      </c>
      <c r="S968" s="283">
        <v>2016</v>
      </c>
      <c r="T968" s="288">
        <f t="shared" si="44"/>
        <v>91479</v>
      </c>
    </row>
    <row r="969" spans="2:20">
      <c r="B969" s="386" t="s">
        <v>1074</v>
      </c>
      <c r="C969" s="114"/>
      <c r="D969" s="111" t="s">
        <v>1547</v>
      </c>
      <c r="E969" s="111" t="s">
        <v>1883</v>
      </c>
      <c r="F969" s="111"/>
      <c r="G969" s="110" t="s">
        <v>2073</v>
      </c>
      <c r="H969" s="141">
        <v>373.27812899999998</v>
      </c>
      <c r="I969" s="280"/>
      <c r="J969" s="72">
        <v>148.52000000000001</v>
      </c>
      <c r="K969" s="271">
        <f t="shared" si="45"/>
        <v>55439.267719080002</v>
      </c>
      <c r="L969" s="111"/>
      <c r="M969" s="73"/>
      <c r="N969" s="112"/>
      <c r="O969" s="111"/>
      <c r="P969" s="312">
        <v>0</v>
      </c>
      <c r="Q969" s="288">
        <f t="shared" si="46"/>
        <v>0</v>
      </c>
      <c r="R969" s="118">
        <v>0</v>
      </c>
      <c r="S969" s="283">
        <v>2016</v>
      </c>
      <c r="T969" s="288">
        <f t="shared" si="44"/>
        <v>60073</v>
      </c>
    </row>
    <row r="970" spans="2:20">
      <c r="B970" s="386" t="s">
        <v>1075</v>
      </c>
      <c r="C970" s="114"/>
      <c r="D970" s="111" t="s">
        <v>1547</v>
      </c>
      <c r="E970" s="111" t="s">
        <v>1883</v>
      </c>
      <c r="F970" s="111"/>
      <c r="G970" s="110" t="s">
        <v>2073</v>
      </c>
      <c r="H970" s="141">
        <v>46.324719999999999</v>
      </c>
      <c r="I970" s="280"/>
      <c r="J970" s="72">
        <v>148.52000000000001</v>
      </c>
      <c r="K970" s="271">
        <f t="shared" si="45"/>
        <v>6880.1474144000003</v>
      </c>
      <c r="L970" s="111"/>
      <c r="M970" s="73"/>
      <c r="N970" s="112"/>
      <c r="O970" s="111"/>
      <c r="P970" s="312">
        <v>0</v>
      </c>
      <c r="Q970" s="288">
        <f t="shared" si="46"/>
        <v>0</v>
      </c>
      <c r="R970" s="118">
        <v>0</v>
      </c>
      <c r="S970" s="283">
        <v>2016</v>
      </c>
      <c r="T970" s="288">
        <f t="shared" si="44"/>
        <v>7455</v>
      </c>
    </row>
    <row r="971" spans="2:20">
      <c r="B971" s="386" t="s">
        <v>1076</v>
      </c>
      <c r="C971" s="114"/>
      <c r="D971" s="111" t="s">
        <v>1547</v>
      </c>
      <c r="E971" s="111" t="s">
        <v>1883</v>
      </c>
      <c r="F971" s="111"/>
      <c r="G971" s="110" t="s">
        <v>2073</v>
      </c>
      <c r="H971" s="141">
        <v>6.0965369999999997</v>
      </c>
      <c r="I971" s="280"/>
      <c r="J971" s="72">
        <v>148.52000000000001</v>
      </c>
      <c r="K971" s="271">
        <f t="shared" si="45"/>
        <v>905.45767523999996</v>
      </c>
      <c r="L971" s="111"/>
      <c r="M971" s="73"/>
      <c r="N971" s="112"/>
      <c r="O971" s="111"/>
      <c r="P971" s="312">
        <v>0</v>
      </c>
      <c r="Q971" s="288">
        <f t="shared" si="46"/>
        <v>0</v>
      </c>
      <c r="R971" s="118">
        <v>0</v>
      </c>
      <c r="S971" s="283">
        <v>2016</v>
      </c>
      <c r="T971" s="288">
        <f t="shared" si="44"/>
        <v>981</v>
      </c>
    </row>
    <row r="972" spans="2:20">
      <c r="B972" s="386" t="s">
        <v>1077</v>
      </c>
      <c r="C972" s="114"/>
      <c r="D972" s="111" t="s">
        <v>1546</v>
      </c>
      <c r="E972" s="111" t="s">
        <v>1884</v>
      </c>
      <c r="F972" s="111"/>
      <c r="G972" s="110" t="s">
        <v>2073</v>
      </c>
      <c r="H972" s="141">
        <v>344.652039</v>
      </c>
      <c r="I972" s="280"/>
      <c r="J972" s="72">
        <v>148.52000000000001</v>
      </c>
      <c r="K972" s="271">
        <f t="shared" si="45"/>
        <v>51187.720832280007</v>
      </c>
      <c r="L972" s="111"/>
      <c r="M972" s="73"/>
      <c r="N972" s="112"/>
      <c r="O972" s="111"/>
      <c r="P972" s="312">
        <v>0</v>
      </c>
      <c r="Q972" s="288">
        <f t="shared" si="46"/>
        <v>0</v>
      </c>
      <c r="R972" s="118">
        <v>0</v>
      </c>
      <c r="S972" s="283">
        <v>2016</v>
      </c>
      <c r="T972" s="288">
        <f t="shared" si="44"/>
        <v>55466</v>
      </c>
    </row>
    <row r="973" spans="2:20">
      <c r="B973" s="386" t="s">
        <v>1078</v>
      </c>
      <c r="C973" s="114"/>
      <c r="D973" s="111" t="s">
        <v>1546</v>
      </c>
      <c r="E973" s="111" t="s">
        <v>1884</v>
      </c>
      <c r="F973" s="111"/>
      <c r="G973" s="110" t="s">
        <v>2073</v>
      </c>
      <c r="H973" s="141">
        <v>56.630187999999997</v>
      </c>
      <c r="I973" s="280"/>
      <c r="J973" s="72">
        <v>148.52000000000001</v>
      </c>
      <c r="K973" s="271">
        <f t="shared" si="45"/>
        <v>8410.7155217599993</v>
      </c>
      <c r="L973" s="111"/>
      <c r="M973" s="73"/>
      <c r="N973" s="112"/>
      <c r="O973" s="111"/>
      <c r="P973" s="312">
        <v>0</v>
      </c>
      <c r="Q973" s="288">
        <f t="shared" si="46"/>
        <v>0</v>
      </c>
      <c r="R973" s="118">
        <v>0</v>
      </c>
      <c r="S973" s="283">
        <v>2016</v>
      </c>
      <c r="T973" s="288">
        <f t="shared" ref="T973:T1036" si="47">IFERROR(ROUND((K973*(1+PPI_Existing)^(YEAR-S973))+(R973*((1+LandInd_Existing)^(YEAR-S973))),0),0)</f>
        <v>9114</v>
      </c>
    </row>
    <row r="974" spans="2:20">
      <c r="B974" s="386" t="s">
        <v>1079</v>
      </c>
      <c r="C974" s="114"/>
      <c r="D974" s="111" t="s">
        <v>1546</v>
      </c>
      <c r="E974" s="111" t="s">
        <v>1884</v>
      </c>
      <c r="F974" s="111"/>
      <c r="G974" s="110" t="s">
        <v>2073</v>
      </c>
      <c r="H974" s="141">
        <v>91.897019</v>
      </c>
      <c r="I974" s="280"/>
      <c r="J974" s="72">
        <v>148.52000000000001</v>
      </c>
      <c r="K974" s="271">
        <f t="shared" si="45"/>
        <v>13648.545261880001</v>
      </c>
      <c r="L974" s="111"/>
      <c r="M974" s="73"/>
      <c r="N974" s="112"/>
      <c r="O974" s="111"/>
      <c r="P974" s="312">
        <v>0</v>
      </c>
      <c r="Q974" s="288">
        <f t="shared" si="46"/>
        <v>0</v>
      </c>
      <c r="R974" s="118">
        <v>0</v>
      </c>
      <c r="S974" s="283">
        <v>2016</v>
      </c>
      <c r="T974" s="288">
        <f t="shared" si="47"/>
        <v>14789</v>
      </c>
    </row>
    <row r="975" spans="2:20">
      <c r="B975" s="386" t="s">
        <v>1080</v>
      </c>
      <c r="C975" s="114"/>
      <c r="D975" s="111" t="s">
        <v>1546</v>
      </c>
      <c r="E975" s="111" t="s">
        <v>1884</v>
      </c>
      <c r="F975" s="111"/>
      <c r="G975" s="110" t="s">
        <v>2073</v>
      </c>
      <c r="H975" s="141">
        <v>3999.4850409999999</v>
      </c>
      <c r="I975" s="280"/>
      <c r="J975" s="72">
        <v>148.52000000000001</v>
      </c>
      <c r="K975" s="271">
        <f t="shared" si="45"/>
        <v>594003.51828932005</v>
      </c>
      <c r="L975" s="111"/>
      <c r="M975" s="73"/>
      <c r="N975" s="112"/>
      <c r="O975" s="111"/>
      <c r="P975" s="312">
        <v>0</v>
      </c>
      <c r="Q975" s="288">
        <f t="shared" si="46"/>
        <v>0</v>
      </c>
      <c r="R975" s="118">
        <v>0</v>
      </c>
      <c r="S975" s="283">
        <v>2016</v>
      </c>
      <c r="T975" s="288">
        <f t="shared" si="47"/>
        <v>643656</v>
      </c>
    </row>
    <row r="976" spans="2:20">
      <c r="B976" s="386" t="s">
        <v>1081</v>
      </c>
      <c r="C976" s="114"/>
      <c r="D976" s="111" t="s">
        <v>1546</v>
      </c>
      <c r="E976" s="111" t="s">
        <v>1884</v>
      </c>
      <c r="F976" s="111"/>
      <c r="G976" s="110" t="s">
        <v>2074</v>
      </c>
      <c r="H976" s="141">
        <v>108.17424</v>
      </c>
      <c r="I976" s="280"/>
      <c r="J976" s="72">
        <v>148.52000000000001</v>
      </c>
      <c r="K976" s="271">
        <f t="shared" si="45"/>
        <v>16066.038124800001</v>
      </c>
      <c r="L976" s="111"/>
      <c r="M976" s="73"/>
      <c r="N976" s="112"/>
      <c r="O976" s="111"/>
      <c r="P976" s="312">
        <v>0</v>
      </c>
      <c r="Q976" s="288">
        <f t="shared" si="46"/>
        <v>0</v>
      </c>
      <c r="R976" s="118">
        <v>0</v>
      </c>
      <c r="S976" s="283">
        <v>2016</v>
      </c>
      <c r="T976" s="288">
        <f t="shared" si="47"/>
        <v>17409</v>
      </c>
    </row>
    <row r="977" spans="2:20">
      <c r="B977" s="386" t="s">
        <v>1082</v>
      </c>
      <c r="C977" s="114"/>
      <c r="D977" s="111" t="s">
        <v>1546</v>
      </c>
      <c r="E977" s="111" t="s">
        <v>1884</v>
      </c>
      <c r="F977" s="111"/>
      <c r="G977" s="110" t="s">
        <v>2074</v>
      </c>
      <c r="H977" s="141">
        <v>1026.5885760000001</v>
      </c>
      <c r="I977" s="280"/>
      <c r="J977" s="72">
        <v>148.52000000000001</v>
      </c>
      <c r="K977" s="271">
        <f t="shared" si="45"/>
        <v>152468.93530752003</v>
      </c>
      <c r="L977" s="111"/>
      <c r="M977" s="73"/>
      <c r="N977" s="112"/>
      <c r="O977" s="111"/>
      <c r="P977" s="312">
        <v>0</v>
      </c>
      <c r="Q977" s="288">
        <f t="shared" si="46"/>
        <v>0</v>
      </c>
      <c r="R977" s="118">
        <v>0</v>
      </c>
      <c r="S977" s="283">
        <v>2016</v>
      </c>
      <c r="T977" s="288">
        <f t="shared" si="47"/>
        <v>165214</v>
      </c>
    </row>
    <row r="978" spans="2:20">
      <c r="B978" s="386" t="s">
        <v>1083</v>
      </c>
      <c r="C978" s="114"/>
      <c r="D978" s="111" t="s">
        <v>1546</v>
      </c>
      <c r="E978" s="111" t="s">
        <v>1884</v>
      </c>
      <c r="F978" s="111"/>
      <c r="G978" s="110" t="s">
        <v>2074</v>
      </c>
      <c r="H978" s="141">
        <v>2315.0136670000002</v>
      </c>
      <c r="I978" s="280"/>
      <c r="J978" s="72">
        <v>148.52000000000001</v>
      </c>
      <c r="K978" s="271">
        <f t="shared" si="45"/>
        <v>343825.82982284005</v>
      </c>
      <c r="L978" s="111"/>
      <c r="M978" s="73"/>
      <c r="N978" s="112"/>
      <c r="O978" s="111"/>
      <c r="P978" s="312">
        <v>0</v>
      </c>
      <c r="Q978" s="288">
        <f t="shared" si="46"/>
        <v>0</v>
      </c>
      <c r="R978" s="118">
        <v>0</v>
      </c>
      <c r="S978" s="283">
        <v>2016</v>
      </c>
      <c r="T978" s="288">
        <f t="shared" si="47"/>
        <v>372566</v>
      </c>
    </row>
    <row r="979" spans="2:20">
      <c r="B979" s="386" t="s">
        <v>1084</v>
      </c>
      <c r="C979" s="114"/>
      <c r="D979" s="111" t="s">
        <v>1546</v>
      </c>
      <c r="E979" s="111" t="s">
        <v>1884</v>
      </c>
      <c r="F979" s="111"/>
      <c r="G979" s="110" t="s">
        <v>2074</v>
      </c>
      <c r="H979" s="141">
        <v>78.466384000000005</v>
      </c>
      <c r="I979" s="280"/>
      <c r="J979" s="72">
        <v>148.52000000000001</v>
      </c>
      <c r="K979" s="271">
        <f t="shared" si="45"/>
        <v>11653.827351680002</v>
      </c>
      <c r="L979" s="111"/>
      <c r="M979" s="73"/>
      <c r="N979" s="112"/>
      <c r="O979" s="111"/>
      <c r="P979" s="312">
        <v>0</v>
      </c>
      <c r="Q979" s="288">
        <f t="shared" si="46"/>
        <v>0</v>
      </c>
      <c r="R979" s="118">
        <v>0</v>
      </c>
      <c r="S979" s="283">
        <v>2016</v>
      </c>
      <c r="T979" s="288">
        <f t="shared" si="47"/>
        <v>12628</v>
      </c>
    </row>
    <row r="980" spans="2:20">
      <c r="B980" s="386" t="s">
        <v>1085</v>
      </c>
      <c r="C980" s="114"/>
      <c r="D980" s="111" t="s">
        <v>1546</v>
      </c>
      <c r="E980" s="111" t="s">
        <v>1884</v>
      </c>
      <c r="F980" s="111"/>
      <c r="G980" s="110" t="s">
        <v>2073</v>
      </c>
      <c r="H980" s="141">
        <v>253.33515800000001</v>
      </c>
      <c r="I980" s="280"/>
      <c r="J980" s="72">
        <v>148.52000000000001</v>
      </c>
      <c r="K980" s="271">
        <f t="shared" si="45"/>
        <v>37625.337666160005</v>
      </c>
      <c r="L980" s="111"/>
      <c r="M980" s="73"/>
      <c r="N980" s="112"/>
      <c r="O980" s="111"/>
      <c r="P980" s="312">
        <v>0</v>
      </c>
      <c r="Q980" s="288">
        <f t="shared" si="46"/>
        <v>0</v>
      </c>
      <c r="R980" s="118">
        <v>0</v>
      </c>
      <c r="S980" s="283">
        <v>2016</v>
      </c>
      <c r="T980" s="288">
        <f t="shared" si="47"/>
        <v>40770</v>
      </c>
    </row>
    <row r="981" spans="2:20">
      <c r="B981" s="386" t="s">
        <v>1086</v>
      </c>
      <c r="C981" s="114"/>
      <c r="D981" s="111" t="s">
        <v>1546</v>
      </c>
      <c r="E981" s="111" t="s">
        <v>1884</v>
      </c>
      <c r="F981" s="111"/>
      <c r="G981" s="110" t="s">
        <v>2073</v>
      </c>
      <c r="H981" s="141">
        <v>130.76777200000001</v>
      </c>
      <c r="I981" s="280"/>
      <c r="J981" s="72">
        <v>148.52000000000001</v>
      </c>
      <c r="K981" s="271">
        <f t="shared" si="45"/>
        <v>19421.629497440001</v>
      </c>
      <c r="L981" s="111"/>
      <c r="M981" s="73"/>
      <c r="N981" s="112"/>
      <c r="O981" s="111"/>
      <c r="P981" s="312">
        <v>0</v>
      </c>
      <c r="Q981" s="288">
        <f t="shared" si="46"/>
        <v>0</v>
      </c>
      <c r="R981" s="118">
        <v>0</v>
      </c>
      <c r="S981" s="283">
        <v>2016</v>
      </c>
      <c r="T981" s="288">
        <f t="shared" si="47"/>
        <v>21045</v>
      </c>
    </row>
    <row r="982" spans="2:20">
      <c r="B982" s="386" t="s">
        <v>1087</v>
      </c>
      <c r="C982" s="114"/>
      <c r="D982" s="111" t="s">
        <v>1546</v>
      </c>
      <c r="E982" s="111" t="s">
        <v>1884</v>
      </c>
      <c r="F982" s="111"/>
      <c r="G982" s="110" t="s">
        <v>2073</v>
      </c>
      <c r="H982" s="141">
        <v>175.96513400000001</v>
      </c>
      <c r="I982" s="280"/>
      <c r="J982" s="72">
        <v>148.52000000000001</v>
      </c>
      <c r="K982" s="271">
        <f t="shared" si="45"/>
        <v>26134.341701680001</v>
      </c>
      <c r="L982" s="111"/>
      <c r="M982" s="73"/>
      <c r="N982" s="112"/>
      <c r="O982" s="111"/>
      <c r="P982" s="312">
        <v>0</v>
      </c>
      <c r="Q982" s="288">
        <f t="shared" si="46"/>
        <v>0</v>
      </c>
      <c r="R982" s="118">
        <v>0</v>
      </c>
      <c r="S982" s="283">
        <v>2016</v>
      </c>
      <c r="T982" s="288">
        <f t="shared" si="47"/>
        <v>28319</v>
      </c>
    </row>
    <row r="983" spans="2:20">
      <c r="B983" s="386" t="s">
        <v>1088</v>
      </c>
      <c r="C983" s="114"/>
      <c r="D983" s="111" t="s">
        <v>1546</v>
      </c>
      <c r="E983" s="111" t="s">
        <v>1884</v>
      </c>
      <c r="F983" s="111"/>
      <c r="G983" s="110" t="s">
        <v>2073</v>
      </c>
      <c r="H983" s="141">
        <v>94.368454</v>
      </c>
      <c r="I983" s="280"/>
      <c r="J983" s="72">
        <v>148.52000000000001</v>
      </c>
      <c r="K983" s="271">
        <f t="shared" si="45"/>
        <v>14015.602788080001</v>
      </c>
      <c r="L983" s="111"/>
      <c r="M983" s="73"/>
      <c r="N983" s="112"/>
      <c r="O983" s="111"/>
      <c r="P983" s="312">
        <v>0</v>
      </c>
      <c r="Q983" s="288">
        <f t="shared" si="46"/>
        <v>0</v>
      </c>
      <c r="R983" s="118">
        <v>0</v>
      </c>
      <c r="S983" s="283">
        <v>2016</v>
      </c>
      <c r="T983" s="288">
        <f t="shared" si="47"/>
        <v>15187</v>
      </c>
    </row>
    <row r="984" spans="2:20">
      <c r="B984" s="386" t="s">
        <v>1089</v>
      </c>
      <c r="C984" s="114"/>
      <c r="D984" s="111" t="s">
        <v>1546</v>
      </c>
      <c r="E984" s="111" t="s">
        <v>1884</v>
      </c>
      <c r="F984" s="111"/>
      <c r="G984" s="110" t="s">
        <v>2073</v>
      </c>
      <c r="H984" s="141">
        <v>346.002565</v>
      </c>
      <c r="I984" s="280"/>
      <c r="J984" s="72">
        <v>148.52000000000001</v>
      </c>
      <c r="K984" s="271">
        <f t="shared" si="45"/>
        <v>51388.300953800004</v>
      </c>
      <c r="L984" s="111"/>
      <c r="M984" s="73"/>
      <c r="N984" s="112"/>
      <c r="O984" s="111"/>
      <c r="P984" s="312">
        <v>0</v>
      </c>
      <c r="Q984" s="288">
        <f t="shared" si="46"/>
        <v>0</v>
      </c>
      <c r="R984" s="118">
        <v>0</v>
      </c>
      <c r="S984" s="283">
        <v>2016</v>
      </c>
      <c r="T984" s="288">
        <f t="shared" si="47"/>
        <v>55684</v>
      </c>
    </row>
    <row r="985" spans="2:20">
      <c r="B985" s="386" t="s">
        <v>1090</v>
      </c>
      <c r="C985" s="114"/>
      <c r="D985" s="111" t="s">
        <v>1546</v>
      </c>
      <c r="E985" s="111" t="s">
        <v>1884</v>
      </c>
      <c r="F985" s="111"/>
      <c r="G985" s="110" t="s">
        <v>2073</v>
      </c>
      <c r="H985" s="141">
        <v>110.718339</v>
      </c>
      <c r="I985" s="280"/>
      <c r="J985" s="72">
        <v>148.52000000000001</v>
      </c>
      <c r="K985" s="271">
        <f t="shared" si="45"/>
        <v>16443.887708280003</v>
      </c>
      <c r="L985" s="111"/>
      <c r="M985" s="73"/>
      <c r="N985" s="112"/>
      <c r="O985" s="111"/>
      <c r="P985" s="312">
        <v>0</v>
      </c>
      <c r="Q985" s="288">
        <f t="shared" si="46"/>
        <v>0</v>
      </c>
      <c r="R985" s="118">
        <v>0</v>
      </c>
      <c r="S985" s="283">
        <v>2016</v>
      </c>
      <c r="T985" s="288">
        <f t="shared" si="47"/>
        <v>17818</v>
      </c>
    </row>
    <row r="986" spans="2:20">
      <c r="B986" s="386" t="s">
        <v>1091</v>
      </c>
      <c r="C986" s="114"/>
      <c r="D986" s="111" t="s">
        <v>1546</v>
      </c>
      <c r="E986" s="111" t="s">
        <v>1884</v>
      </c>
      <c r="F986" s="111"/>
      <c r="G986" s="110" t="s">
        <v>2073</v>
      </c>
      <c r="H986" s="141">
        <v>131.555713</v>
      </c>
      <c r="I986" s="280"/>
      <c r="J986" s="72">
        <v>148.52000000000001</v>
      </c>
      <c r="K986" s="271">
        <f t="shared" si="45"/>
        <v>19538.654494760001</v>
      </c>
      <c r="L986" s="111"/>
      <c r="M986" s="73"/>
      <c r="N986" s="112"/>
      <c r="O986" s="111"/>
      <c r="P986" s="312">
        <v>0</v>
      </c>
      <c r="Q986" s="288">
        <f t="shared" si="46"/>
        <v>0</v>
      </c>
      <c r="R986" s="118">
        <v>0</v>
      </c>
      <c r="S986" s="283">
        <v>2016</v>
      </c>
      <c r="T986" s="288">
        <f t="shared" si="47"/>
        <v>21172</v>
      </c>
    </row>
    <row r="987" spans="2:20">
      <c r="B987" s="386" t="s">
        <v>1092</v>
      </c>
      <c r="C987" s="114"/>
      <c r="D987" s="111" t="s">
        <v>1546</v>
      </c>
      <c r="E987" s="111" t="s">
        <v>1884</v>
      </c>
      <c r="F987" s="111"/>
      <c r="G987" s="110" t="s">
        <v>2073</v>
      </c>
      <c r="H987" s="141">
        <v>79.355563000000004</v>
      </c>
      <c r="I987" s="280"/>
      <c r="J987" s="72">
        <v>148.52000000000001</v>
      </c>
      <c r="K987" s="271">
        <f t="shared" si="45"/>
        <v>11785.888216760002</v>
      </c>
      <c r="L987" s="111"/>
      <c r="M987" s="73"/>
      <c r="N987" s="112"/>
      <c r="O987" s="111"/>
      <c r="P987" s="312">
        <v>0</v>
      </c>
      <c r="Q987" s="288">
        <f t="shared" si="46"/>
        <v>0</v>
      </c>
      <c r="R987" s="118">
        <v>0</v>
      </c>
      <c r="S987" s="283">
        <v>2016</v>
      </c>
      <c r="T987" s="288">
        <f t="shared" si="47"/>
        <v>12771</v>
      </c>
    </row>
    <row r="988" spans="2:20">
      <c r="B988" s="386" t="s">
        <v>1093</v>
      </c>
      <c r="C988" s="114"/>
      <c r="D988" s="111" t="s">
        <v>1546</v>
      </c>
      <c r="E988" s="111" t="s">
        <v>1884</v>
      </c>
      <c r="F988" s="111"/>
      <c r="G988" s="110" t="s">
        <v>2073</v>
      </c>
      <c r="H988" s="141">
        <v>180.60949299999999</v>
      </c>
      <c r="I988" s="280"/>
      <c r="J988" s="72">
        <v>148.52000000000001</v>
      </c>
      <c r="K988" s="271">
        <f t="shared" si="45"/>
        <v>26824.121900359998</v>
      </c>
      <c r="L988" s="111"/>
      <c r="M988" s="73"/>
      <c r="N988" s="112"/>
      <c r="O988" s="111"/>
      <c r="P988" s="312">
        <v>0</v>
      </c>
      <c r="Q988" s="288">
        <f t="shared" si="46"/>
        <v>0</v>
      </c>
      <c r="R988" s="118">
        <v>0</v>
      </c>
      <c r="S988" s="283">
        <v>2016</v>
      </c>
      <c r="T988" s="288">
        <f t="shared" si="47"/>
        <v>29066</v>
      </c>
    </row>
    <row r="989" spans="2:20">
      <c r="B989" s="386" t="s">
        <v>1094</v>
      </c>
      <c r="C989" s="114"/>
      <c r="D989" s="111" t="s">
        <v>1546</v>
      </c>
      <c r="E989" s="111" t="s">
        <v>1884</v>
      </c>
      <c r="F989" s="111"/>
      <c r="G989" s="110" t="s">
        <v>2073</v>
      </c>
      <c r="H989" s="141">
        <v>2442.3860949999998</v>
      </c>
      <c r="I989" s="280"/>
      <c r="J989" s="72">
        <v>148.52000000000001</v>
      </c>
      <c r="K989" s="271">
        <f t="shared" si="45"/>
        <v>362743.1828294</v>
      </c>
      <c r="L989" s="111"/>
      <c r="M989" s="73"/>
      <c r="N989" s="112"/>
      <c r="O989" s="111"/>
      <c r="P989" s="312">
        <v>0</v>
      </c>
      <c r="Q989" s="288">
        <f t="shared" si="46"/>
        <v>0</v>
      </c>
      <c r="R989" s="118">
        <v>0</v>
      </c>
      <c r="S989" s="283">
        <v>2016</v>
      </c>
      <c r="T989" s="288">
        <f t="shared" si="47"/>
        <v>393065</v>
      </c>
    </row>
    <row r="990" spans="2:20">
      <c r="B990" s="386" t="s">
        <v>1095</v>
      </c>
      <c r="C990" s="114"/>
      <c r="D990" s="111" t="s">
        <v>1546</v>
      </c>
      <c r="E990" s="111" t="s">
        <v>1884</v>
      </c>
      <c r="F990" s="111"/>
      <c r="G990" s="110" t="s">
        <v>2073</v>
      </c>
      <c r="H990" s="141">
        <v>25.928363000000001</v>
      </c>
      <c r="I990" s="280"/>
      <c r="J990" s="72">
        <v>148.52000000000001</v>
      </c>
      <c r="K990" s="271">
        <f t="shared" si="45"/>
        <v>3850.8804727600004</v>
      </c>
      <c r="L990" s="111"/>
      <c r="M990" s="73"/>
      <c r="N990" s="112"/>
      <c r="O990" s="111"/>
      <c r="P990" s="312">
        <v>0</v>
      </c>
      <c r="Q990" s="288">
        <f t="shared" si="46"/>
        <v>0</v>
      </c>
      <c r="R990" s="118">
        <v>0</v>
      </c>
      <c r="S990" s="283">
        <v>2016</v>
      </c>
      <c r="T990" s="288">
        <f t="shared" si="47"/>
        <v>4173</v>
      </c>
    </row>
    <row r="991" spans="2:20">
      <c r="B991" s="386" t="s">
        <v>1096</v>
      </c>
      <c r="C991" s="114"/>
      <c r="D991" s="111" t="s">
        <v>1546</v>
      </c>
      <c r="E991" s="111" t="s">
        <v>1884</v>
      </c>
      <c r="F991" s="111"/>
      <c r="G991" s="110" t="s">
        <v>2074</v>
      </c>
      <c r="H991" s="141">
        <v>153.74455499999999</v>
      </c>
      <c r="I991" s="280"/>
      <c r="J991" s="72">
        <v>148.52000000000001</v>
      </c>
      <c r="K991" s="271">
        <f t="shared" si="45"/>
        <v>22834.141308599999</v>
      </c>
      <c r="L991" s="111"/>
      <c r="M991" s="73"/>
      <c r="N991" s="112"/>
      <c r="O991" s="111"/>
      <c r="P991" s="312">
        <v>0</v>
      </c>
      <c r="Q991" s="288">
        <f t="shared" si="46"/>
        <v>0</v>
      </c>
      <c r="R991" s="118">
        <v>0</v>
      </c>
      <c r="S991" s="283">
        <v>2016</v>
      </c>
      <c r="T991" s="288">
        <f t="shared" si="47"/>
        <v>24743</v>
      </c>
    </row>
    <row r="992" spans="2:20">
      <c r="B992" s="386" t="s">
        <v>1097</v>
      </c>
      <c r="C992" s="114"/>
      <c r="D992" s="111" t="s">
        <v>1546</v>
      </c>
      <c r="E992" s="111" t="s">
        <v>1884</v>
      </c>
      <c r="F992" s="111"/>
      <c r="G992" s="110" t="s">
        <v>2073</v>
      </c>
      <c r="H992" s="141">
        <v>72.041383999999994</v>
      </c>
      <c r="I992" s="280"/>
      <c r="J992" s="72">
        <v>148.52000000000001</v>
      </c>
      <c r="K992" s="271">
        <f t="shared" ref="K992:K1051" si="48">J992*H992</f>
        <v>10699.58635168</v>
      </c>
      <c r="L992" s="111"/>
      <c r="M992" s="73"/>
      <c r="N992" s="112"/>
      <c r="O992" s="111"/>
      <c r="P992" s="312">
        <v>0</v>
      </c>
      <c r="Q992" s="288">
        <f t="shared" ref="Q992:Q1051" si="49">IFERROR(R992/P992,0)</f>
        <v>0</v>
      </c>
      <c r="R992" s="118">
        <v>0</v>
      </c>
      <c r="S992" s="283">
        <v>2016</v>
      </c>
      <c r="T992" s="288">
        <f t="shared" si="47"/>
        <v>11594</v>
      </c>
    </row>
    <row r="993" spans="2:20">
      <c r="B993" s="386" t="s">
        <v>1098</v>
      </c>
      <c r="C993" s="114"/>
      <c r="D993" s="111" t="s">
        <v>1546</v>
      </c>
      <c r="E993" s="111" t="s">
        <v>1884</v>
      </c>
      <c r="F993" s="111"/>
      <c r="G993" s="110" t="s">
        <v>2073</v>
      </c>
      <c r="H993" s="141">
        <v>232.21952899999999</v>
      </c>
      <c r="I993" s="280"/>
      <c r="J993" s="72">
        <v>148.52000000000001</v>
      </c>
      <c r="K993" s="271">
        <f t="shared" si="48"/>
        <v>34489.244447080004</v>
      </c>
      <c r="L993" s="111"/>
      <c r="M993" s="73"/>
      <c r="N993" s="112"/>
      <c r="O993" s="111"/>
      <c r="P993" s="312">
        <v>0</v>
      </c>
      <c r="Q993" s="288">
        <f t="shared" si="49"/>
        <v>0</v>
      </c>
      <c r="R993" s="118">
        <v>0</v>
      </c>
      <c r="S993" s="283">
        <v>2016</v>
      </c>
      <c r="T993" s="288">
        <f t="shared" si="47"/>
        <v>37372</v>
      </c>
    </row>
    <row r="994" spans="2:20">
      <c r="B994" s="386" t="s">
        <v>1099</v>
      </c>
      <c r="C994" s="114"/>
      <c r="D994" s="111" t="s">
        <v>1546</v>
      </c>
      <c r="E994" s="111" t="s">
        <v>1884</v>
      </c>
      <c r="F994" s="111"/>
      <c r="G994" s="110" t="s">
        <v>2073</v>
      </c>
      <c r="H994" s="141">
        <v>471.53514799999999</v>
      </c>
      <c r="I994" s="280"/>
      <c r="J994" s="72">
        <v>148.52000000000001</v>
      </c>
      <c r="K994" s="271">
        <f t="shared" si="48"/>
        <v>70032.400180960001</v>
      </c>
      <c r="L994" s="111"/>
      <c r="M994" s="73"/>
      <c r="N994" s="112"/>
      <c r="O994" s="111"/>
      <c r="P994" s="312">
        <v>0</v>
      </c>
      <c r="Q994" s="288">
        <f t="shared" si="49"/>
        <v>0</v>
      </c>
      <c r="R994" s="118">
        <v>0</v>
      </c>
      <c r="S994" s="283">
        <v>2016</v>
      </c>
      <c r="T994" s="288">
        <f t="shared" si="47"/>
        <v>75886</v>
      </c>
    </row>
    <row r="995" spans="2:20">
      <c r="B995" s="386" t="s">
        <v>1100</v>
      </c>
      <c r="C995" s="114"/>
      <c r="D995" s="111" t="s">
        <v>1546</v>
      </c>
      <c r="E995" s="111" t="s">
        <v>1884</v>
      </c>
      <c r="F995" s="111"/>
      <c r="G995" s="110" t="s">
        <v>2073</v>
      </c>
      <c r="H995" s="141">
        <v>123.675192</v>
      </c>
      <c r="I995" s="280"/>
      <c r="J995" s="72">
        <v>148.52000000000001</v>
      </c>
      <c r="K995" s="271">
        <f t="shared" si="48"/>
        <v>18368.23951584</v>
      </c>
      <c r="L995" s="111"/>
      <c r="M995" s="73"/>
      <c r="N995" s="112"/>
      <c r="O995" s="111"/>
      <c r="P995" s="312">
        <v>0</v>
      </c>
      <c r="Q995" s="288">
        <f t="shared" si="49"/>
        <v>0</v>
      </c>
      <c r="R995" s="118">
        <v>0</v>
      </c>
      <c r="S995" s="283">
        <v>2016</v>
      </c>
      <c r="T995" s="288">
        <f t="shared" si="47"/>
        <v>19904</v>
      </c>
    </row>
    <row r="996" spans="2:20">
      <c r="B996" s="386" t="s">
        <v>1101</v>
      </c>
      <c r="C996" s="114"/>
      <c r="D996" s="111" t="s">
        <v>1546</v>
      </c>
      <c r="E996" s="111" t="s">
        <v>1884</v>
      </c>
      <c r="F996" s="111"/>
      <c r="G996" s="110" t="s">
        <v>2073</v>
      </c>
      <c r="H996" s="141">
        <v>152.03369900000001</v>
      </c>
      <c r="I996" s="280"/>
      <c r="J996" s="72">
        <v>148.52000000000001</v>
      </c>
      <c r="K996" s="271">
        <f t="shared" si="48"/>
        <v>22580.044975480003</v>
      </c>
      <c r="L996" s="111"/>
      <c r="M996" s="73"/>
      <c r="N996" s="112"/>
      <c r="O996" s="111"/>
      <c r="P996" s="312">
        <v>0</v>
      </c>
      <c r="Q996" s="288">
        <f t="shared" si="49"/>
        <v>0</v>
      </c>
      <c r="R996" s="118">
        <v>0</v>
      </c>
      <c r="S996" s="283">
        <v>2016</v>
      </c>
      <c r="T996" s="288">
        <f t="shared" si="47"/>
        <v>24468</v>
      </c>
    </row>
    <row r="997" spans="2:20">
      <c r="B997" s="386" t="s">
        <v>1102</v>
      </c>
      <c r="C997" s="114"/>
      <c r="D997" s="111" t="s">
        <v>1546</v>
      </c>
      <c r="E997" s="111" t="s">
        <v>1884</v>
      </c>
      <c r="F997" s="111"/>
      <c r="G997" s="110" t="s">
        <v>2073</v>
      </c>
      <c r="H997" s="141">
        <v>92.951244000000003</v>
      </c>
      <c r="I997" s="280"/>
      <c r="J997" s="72">
        <v>148.52000000000001</v>
      </c>
      <c r="K997" s="271">
        <f t="shared" si="48"/>
        <v>13805.118758880002</v>
      </c>
      <c r="L997" s="111"/>
      <c r="M997" s="73"/>
      <c r="N997" s="112"/>
      <c r="O997" s="111"/>
      <c r="P997" s="312">
        <v>0</v>
      </c>
      <c r="Q997" s="288">
        <f t="shared" si="49"/>
        <v>0</v>
      </c>
      <c r="R997" s="118">
        <v>0</v>
      </c>
      <c r="S997" s="283">
        <v>2016</v>
      </c>
      <c r="T997" s="288">
        <f t="shared" si="47"/>
        <v>14959</v>
      </c>
    </row>
    <row r="998" spans="2:20">
      <c r="B998" s="386" t="s">
        <v>1103</v>
      </c>
      <c r="C998" s="114"/>
      <c r="D998" s="111" t="s">
        <v>1546</v>
      </c>
      <c r="E998" s="111" t="s">
        <v>1884</v>
      </c>
      <c r="F998" s="111"/>
      <c r="G998" s="110" t="s">
        <v>2074</v>
      </c>
      <c r="H998" s="141">
        <v>346.61557099999999</v>
      </c>
      <c r="I998" s="280"/>
      <c r="J998" s="72">
        <v>148.52000000000001</v>
      </c>
      <c r="K998" s="271">
        <f t="shared" si="48"/>
        <v>51479.344604919999</v>
      </c>
      <c r="L998" s="111"/>
      <c r="M998" s="73"/>
      <c r="N998" s="112"/>
      <c r="O998" s="111"/>
      <c r="P998" s="312">
        <v>0</v>
      </c>
      <c r="Q998" s="288">
        <f t="shared" si="49"/>
        <v>0</v>
      </c>
      <c r="R998" s="118">
        <v>0</v>
      </c>
      <c r="S998" s="283">
        <v>2016</v>
      </c>
      <c r="T998" s="288">
        <f t="shared" si="47"/>
        <v>55782</v>
      </c>
    </row>
    <row r="999" spans="2:20">
      <c r="B999" s="386" t="s">
        <v>1104</v>
      </c>
      <c r="C999" s="114"/>
      <c r="D999" s="111" t="s">
        <v>1547</v>
      </c>
      <c r="E999" s="111" t="s">
        <v>1885</v>
      </c>
      <c r="F999" s="111"/>
      <c r="G999" s="110" t="s">
        <v>2073</v>
      </c>
      <c r="H999" s="141">
        <v>459.42351000000002</v>
      </c>
      <c r="I999" s="280"/>
      <c r="J999" s="72">
        <v>148.52000000000001</v>
      </c>
      <c r="K999" s="271">
        <f t="shared" si="48"/>
        <v>68233.579705200013</v>
      </c>
      <c r="L999" s="111"/>
      <c r="M999" s="73"/>
      <c r="N999" s="112"/>
      <c r="O999" s="111"/>
      <c r="P999" s="312">
        <v>0</v>
      </c>
      <c r="Q999" s="288">
        <f t="shared" si="49"/>
        <v>0</v>
      </c>
      <c r="R999" s="118">
        <v>0</v>
      </c>
      <c r="S999" s="283">
        <v>2016</v>
      </c>
      <c r="T999" s="288">
        <f t="shared" si="47"/>
        <v>73937</v>
      </c>
    </row>
    <row r="1000" spans="2:20">
      <c r="B1000" s="386" t="s">
        <v>1105</v>
      </c>
      <c r="C1000" s="114"/>
      <c r="D1000" s="111" t="s">
        <v>1546</v>
      </c>
      <c r="E1000" s="111" t="s">
        <v>1738</v>
      </c>
      <c r="F1000" s="111"/>
      <c r="G1000" s="110" t="s">
        <v>2073</v>
      </c>
      <c r="H1000" s="141">
        <v>1559.599017</v>
      </c>
      <c r="I1000" s="280"/>
      <c r="J1000" s="72">
        <v>148.52000000000001</v>
      </c>
      <c r="K1000" s="271">
        <f t="shared" si="48"/>
        <v>231631.64600484</v>
      </c>
      <c r="L1000" s="111"/>
      <c r="M1000" s="73"/>
      <c r="N1000" s="112"/>
      <c r="O1000" s="111"/>
      <c r="P1000" s="312">
        <v>0</v>
      </c>
      <c r="Q1000" s="288">
        <f t="shared" si="49"/>
        <v>0</v>
      </c>
      <c r="R1000" s="118">
        <v>0</v>
      </c>
      <c r="S1000" s="283">
        <v>2016</v>
      </c>
      <c r="T1000" s="288">
        <f t="shared" si="47"/>
        <v>250994</v>
      </c>
    </row>
    <row r="1001" spans="2:20">
      <c r="B1001" s="386" t="s">
        <v>1106</v>
      </c>
      <c r="C1001" s="114"/>
      <c r="D1001" s="111" t="s">
        <v>1546</v>
      </c>
      <c r="E1001" s="111" t="s">
        <v>1738</v>
      </c>
      <c r="F1001" s="111"/>
      <c r="G1001" s="110" t="s">
        <v>2073</v>
      </c>
      <c r="H1001" s="141">
        <v>46.713943</v>
      </c>
      <c r="I1001" s="280"/>
      <c r="J1001" s="72">
        <v>148.52000000000001</v>
      </c>
      <c r="K1001" s="271">
        <f t="shared" si="48"/>
        <v>6937.9548143600005</v>
      </c>
      <c r="L1001" s="111"/>
      <c r="M1001" s="73"/>
      <c r="N1001" s="112"/>
      <c r="O1001" s="111"/>
      <c r="P1001" s="312">
        <v>0</v>
      </c>
      <c r="Q1001" s="288">
        <f t="shared" si="49"/>
        <v>0</v>
      </c>
      <c r="R1001" s="118">
        <v>0</v>
      </c>
      <c r="S1001" s="283">
        <v>2016</v>
      </c>
      <c r="T1001" s="288">
        <f t="shared" si="47"/>
        <v>7518</v>
      </c>
    </row>
    <row r="1002" spans="2:20">
      <c r="B1002" s="386" t="s">
        <v>1107</v>
      </c>
      <c r="C1002" s="114"/>
      <c r="D1002" s="111" t="s">
        <v>1546</v>
      </c>
      <c r="E1002" s="111" t="s">
        <v>1738</v>
      </c>
      <c r="F1002" s="111"/>
      <c r="G1002" s="110" t="s">
        <v>2073</v>
      </c>
      <c r="H1002" s="141">
        <v>701.57292800000005</v>
      </c>
      <c r="I1002" s="280"/>
      <c r="J1002" s="72">
        <v>148.52000000000001</v>
      </c>
      <c r="K1002" s="271">
        <f t="shared" si="48"/>
        <v>104197.61126656001</v>
      </c>
      <c r="L1002" s="111"/>
      <c r="M1002" s="73"/>
      <c r="N1002" s="112"/>
      <c r="O1002" s="111"/>
      <c r="P1002" s="312">
        <v>0</v>
      </c>
      <c r="Q1002" s="288">
        <f t="shared" si="49"/>
        <v>0</v>
      </c>
      <c r="R1002" s="118">
        <v>0</v>
      </c>
      <c r="S1002" s="283">
        <v>2016</v>
      </c>
      <c r="T1002" s="288">
        <f t="shared" si="47"/>
        <v>112907</v>
      </c>
    </row>
    <row r="1003" spans="2:20">
      <c r="B1003" s="386" t="s">
        <v>1108</v>
      </c>
      <c r="C1003" s="114"/>
      <c r="D1003" s="111" t="s">
        <v>1546</v>
      </c>
      <c r="E1003" s="111" t="s">
        <v>1738</v>
      </c>
      <c r="F1003" s="111"/>
      <c r="G1003" s="110" t="s">
        <v>2073</v>
      </c>
      <c r="H1003" s="141">
        <v>2120.690599</v>
      </c>
      <c r="I1003" s="280"/>
      <c r="J1003" s="72">
        <v>148.52000000000001</v>
      </c>
      <c r="K1003" s="271">
        <f t="shared" si="48"/>
        <v>314964.96776348003</v>
      </c>
      <c r="L1003" s="111"/>
      <c r="M1003" s="73"/>
      <c r="N1003" s="112"/>
      <c r="O1003" s="111"/>
      <c r="P1003" s="312">
        <v>0</v>
      </c>
      <c r="Q1003" s="288">
        <f t="shared" si="49"/>
        <v>0</v>
      </c>
      <c r="R1003" s="118">
        <v>0</v>
      </c>
      <c r="S1003" s="283">
        <v>2016</v>
      </c>
      <c r="T1003" s="288">
        <f t="shared" si="47"/>
        <v>341293</v>
      </c>
    </row>
    <row r="1004" spans="2:20">
      <c r="B1004" s="386" t="s">
        <v>1109</v>
      </c>
      <c r="C1004" s="114"/>
      <c r="D1004" s="111" t="s">
        <v>1546</v>
      </c>
      <c r="E1004" s="111" t="s">
        <v>1738</v>
      </c>
      <c r="F1004" s="111"/>
      <c r="G1004" s="110" t="s">
        <v>2073</v>
      </c>
      <c r="H1004" s="141">
        <v>31.164525000000001</v>
      </c>
      <c r="I1004" s="280"/>
      <c r="J1004" s="72">
        <v>148.52000000000001</v>
      </c>
      <c r="K1004" s="271">
        <f t="shared" si="48"/>
        <v>4628.5552530000004</v>
      </c>
      <c r="L1004" s="111"/>
      <c r="M1004" s="73"/>
      <c r="N1004" s="112"/>
      <c r="O1004" s="111"/>
      <c r="P1004" s="312">
        <v>0</v>
      </c>
      <c r="Q1004" s="288">
        <f t="shared" si="49"/>
        <v>0</v>
      </c>
      <c r="R1004" s="118">
        <v>0</v>
      </c>
      <c r="S1004" s="283">
        <v>2016</v>
      </c>
      <c r="T1004" s="288">
        <f t="shared" si="47"/>
        <v>5015</v>
      </c>
    </row>
    <row r="1005" spans="2:20">
      <c r="B1005" s="386" t="s">
        <v>1110</v>
      </c>
      <c r="C1005" s="114"/>
      <c r="D1005" s="111" t="s">
        <v>1546</v>
      </c>
      <c r="E1005" s="111" t="s">
        <v>1738</v>
      </c>
      <c r="F1005" s="111"/>
      <c r="G1005" s="110" t="s">
        <v>2073</v>
      </c>
      <c r="H1005" s="141">
        <v>168.383161</v>
      </c>
      <c r="I1005" s="280"/>
      <c r="J1005" s="72">
        <v>148.52000000000001</v>
      </c>
      <c r="K1005" s="271">
        <f t="shared" si="48"/>
        <v>25008.267071720002</v>
      </c>
      <c r="L1005" s="111"/>
      <c r="M1005" s="73"/>
      <c r="N1005" s="112"/>
      <c r="O1005" s="111"/>
      <c r="P1005" s="312">
        <v>0</v>
      </c>
      <c r="Q1005" s="288">
        <f t="shared" si="49"/>
        <v>0</v>
      </c>
      <c r="R1005" s="118">
        <v>0</v>
      </c>
      <c r="S1005" s="283">
        <v>2016</v>
      </c>
      <c r="T1005" s="288">
        <f t="shared" si="47"/>
        <v>27099</v>
      </c>
    </row>
    <row r="1006" spans="2:20">
      <c r="B1006" s="386" t="s">
        <v>1111</v>
      </c>
      <c r="C1006" s="114"/>
      <c r="D1006" s="111" t="s">
        <v>1546</v>
      </c>
      <c r="E1006" s="111" t="s">
        <v>1738</v>
      </c>
      <c r="F1006" s="111"/>
      <c r="G1006" s="110" t="s">
        <v>2073</v>
      </c>
      <c r="H1006" s="141">
        <v>20.356826000000002</v>
      </c>
      <c r="I1006" s="280"/>
      <c r="J1006" s="72">
        <v>148.52000000000001</v>
      </c>
      <c r="K1006" s="271">
        <f t="shared" si="48"/>
        <v>3023.3957975200005</v>
      </c>
      <c r="L1006" s="111"/>
      <c r="M1006" s="73"/>
      <c r="N1006" s="112"/>
      <c r="O1006" s="111"/>
      <c r="P1006" s="312">
        <v>0</v>
      </c>
      <c r="Q1006" s="288">
        <f t="shared" si="49"/>
        <v>0</v>
      </c>
      <c r="R1006" s="118">
        <v>0</v>
      </c>
      <c r="S1006" s="283">
        <v>2016</v>
      </c>
      <c r="T1006" s="288">
        <f t="shared" si="47"/>
        <v>3276</v>
      </c>
    </row>
    <row r="1007" spans="2:20">
      <c r="B1007" s="386" t="s">
        <v>1112</v>
      </c>
      <c r="C1007" s="114"/>
      <c r="D1007" s="111" t="s">
        <v>1546</v>
      </c>
      <c r="E1007" s="111" t="s">
        <v>1738</v>
      </c>
      <c r="F1007" s="111"/>
      <c r="G1007" s="110" t="s">
        <v>2073</v>
      </c>
      <c r="H1007" s="141">
        <v>2300.2138209999998</v>
      </c>
      <c r="I1007" s="280"/>
      <c r="J1007" s="72">
        <v>148.52000000000001</v>
      </c>
      <c r="K1007" s="271">
        <f t="shared" si="48"/>
        <v>341627.75669492001</v>
      </c>
      <c r="L1007" s="111"/>
      <c r="M1007" s="73"/>
      <c r="N1007" s="112"/>
      <c r="O1007" s="111"/>
      <c r="P1007" s="312">
        <v>0</v>
      </c>
      <c r="Q1007" s="288">
        <f t="shared" si="49"/>
        <v>0</v>
      </c>
      <c r="R1007" s="118">
        <v>0</v>
      </c>
      <c r="S1007" s="283">
        <v>2016</v>
      </c>
      <c r="T1007" s="288">
        <f t="shared" si="47"/>
        <v>370184</v>
      </c>
    </row>
    <row r="1008" spans="2:20">
      <c r="B1008" s="386" t="s">
        <v>1113</v>
      </c>
      <c r="C1008" s="114"/>
      <c r="D1008" s="111" t="s">
        <v>1547</v>
      </c>
      <c r="E1008" s="111" t="s">
        <v>1886</v>
      </c>
      <c r="F1008" s="111"/>
      <c r="G1008" s="110" t="s">
        <v>2074</v>
      </c>
      <c r="H1008" s="141">
        <v>54.405152999999999</v>
      </c>
      <c r="I1008" s="280"/>
      <c r="J1008" s="72">
        <v>148.52000000000001</v>
      </c>
      <c r="K1008" s="271">
        <f t="shared" si="48"/>
        <v>8080.2533235600004</v>
      </c>
      <c r="L1008" s="111"/>
      <c r="M1008" s="73"/>
      <c r="N1008" s="112"/>
      <c r="O1008" s="111"/>
      <c r="P1008" s="312">
        <v>0</v>
      </c>
      <c r="Q1008" s="288">
        <f t="shared" si="49"/>
        <v>0</v>
      </c>
      <c r="R1008" s="118">
        <v>0</v>
      </c>
      <c r="S1008" s="283">
        <v>2016</v>
      </c>
      <c r="T1008" s="288">
        <f t="shared" si="47"/>
        <v>8756</v>
      </c>
    </row>
    <row r="1009" spans="2:20">
      <c r="B1009" s="386" t="s">
        <v>1114</v>
      </c>
      <c r="C1009" s="114"/>
      <c r="D1009" s="111" t="s">
        <v>1547</v>
      </c>
      <c r="E1009" s="111" t="s">
        <v>1887</v>
      </c>
      <c r="F1009" s="111"/>
      <c r="G1009" s="110" t="s">
        <v>2074</v>
      </c>
      <c r="H1009" s="141">
        <v>14.417809999999999</v>
      </c>
      <c r="I1009" s="280"/>
      <c r="J1009" s="72">
        <v>148.52000000000001</v>
      </c>
      <c r="K1009" s="271">
        <f t="shared" si="48"/>
        <v>2141.3331412000002</v>
      </c>
      <c r="L1009" s="111"/>
      <c r="M1009" s="73"/>
      <c r="N1009" s="112"/>
      <c r="O1009" s="111"/>
      <c r="P1009" s="312">
        <v>0</v>
      </c>
      <c r="Q1009" s="288">
        <f t="shared" si="49"/>
        <v>0</v>
      </c>
      <c r="R1009" s="118">
        <v>0</v>
      </c>
      <c r="S1009" s="283">
        <v>2016</v>
      </c>
      <c r="T1009" s="288">
        <f t="shared" si="47"/>
        <v>2320</v>
      </c>
    </row>
    <row r="1010" spans="2:20">
      <c r="B1010" s="386" t="s">
        <v>1115</v>
      </c>
      <c r="C1010" s="114"/>
      <c r="D1010" s="111" t="s">
        <v>1546</v>
      </c>
      <c r="E1010" s="111" t="s">
        <v>1884</v>
      </c>
      <c r="F1010" s="111"/>
      <c r="G1010" s="110" t="s">
        <v>2074</v>
      </c>
      <c r="H1010" s="141">
        <v>288.22245700000002</v>
      </c>
      <c r="I1010" s="280"/>
      <c r="J1010" s="72">
        <v>148.52000000000001</v>
      </c>
      <c r="K1010" s="271">
        <f t="shared" si="48"/>
        <v>42806.799313640004</v>
      </c>
      <c r="L1010" s="111"/>
      <c r="M1010" s="73"/>
      <c r="N1010" s="112"/>
      <c r="O1010" s="111"/>
      <c r="P1010" s="312">
        <v>0</v>
      </c>
      <c r="Q1010" s="288">
        <f t="shared" si="49"/>
        <v>0</v>
      </c>
      <c r="R1010" s="118">
        <v>0</v>
      </c>
      <c r="S1010" s="283">
        <v>2016</v>
      </c>
      <c r="T1010" s="288">
        <f t="shared" si="47"/>
        <v>46385</v>
      </c>
    </row>
    <row r="1011" spans="2:20">
      <c r="B1011" s="386" t="s">
        <v>1116</v>
      </c>
      <c r="C1011" s="114"/>
      <c r="D1011" s="111" t="s">
        <v>1546</v>
      </c>
      <c r="E1011" s="111" t="s">
        <v>1884</v>
      </c>
      <c r="F1011" s="111"/>
      <c r="G1011" s="110" t="s">
        <v>2074</v>
      </c>
      <c r="H1011" s="141">
        <v>538.61213499999997</v>
      </c>
      <c r="I1011" s="280"/>
      <c r="J1011" s="72">
        <v>148.52000000000001</v>
      </c>
      <c r="K1011" s="271">
        <f t="shared" si="48"/>
        <v>79994.674290199997</v>
      </c>
      <c r="L1011" s="111"/>
      <c r="M1011" s="73"/>
      <c r="N1011" s="112"/>
      <c r="O1011" s="111"/>
      <c r="P1011" s="312">
        <v>0</v>
      </c>
      <c r="Q1011" s="288">
        <f t="shared" si="49"/>
        <v>0</v>
      </c>
      <c r="R1011" s="118">
        <v>0</v>
      </c>
      <c r="S1011" s="283">
        <v>2016</v>
      </c>
      <c r="T1011" s="288">
        <f t="shared" si="47"/>
        <v>86681</v>
      </c>
    </row>
    <row r="1012" spans="2:20">
      <c r="B1012" s="386" t="s">
        <v>1117</v>
      </c>
      <c r="C1012" s="114"/>
      <c r="D1012" s="111" t="s">
        <v>1547</v>
      </c>
      <c r="E1012" s="111" t="s">
        <v>42</v>
      </c>
      <c r="F1012" s="111"/>
      <c r="G1012" s="110" t="s">
        <v>2073</v>
      </c>
      <c r="H1012" s="141">
        <v>403.15031199999999</v>
      </c>
      <c r="I1012" s="280"/>
      <c r="J1012" s="72">
        <v>148.52000000000001</v>
      </c>
      <c r="K1012" s="271">
        <f t="shared" si="48"/>
        <v>59875.884338240001</v>
      </c>
      <c r="L1012" s="111"/>
      <c r="M1012" s="73"/>
      <c r="N1012" s="112"/>
      <c r="O1012" s="111"/>
      <c r="P1012" s="312">
        <v>0</v>
      </c>
      <c r="Q1012" s="288">
        <f t="shared" si="49"/>
        <v>0</v>
      </c>
      <c r="R1012" s="118">
        <v>0</v>
      </c>
      <c r="S1012" s="283">
        <v>2016</v>
      </c>
      <c r="T1012" s="288">
        <f t="shared" si="47"/>
        <v>64881</v>
      </c>
    </row>
    <row r="1013" spans="2:20">
      <c r="B1013" s="386" t="s">
        <v>1118</v>
      </c>
      <c r="C1013" s="114"/>
      <c r="D1013" s="111" t="s">
        <v>1547</v>
      </c>
      <c r="E1013" s="111" t="s">
        <v>42</v>
      </c>
      <c r="F1013" s="111"/>
      <c r="G1013" s="110" t="s">
        <v>2073</v>
      </c>
      <c r="H1013" s="141">
        <v>713.35581100000002</v>
      </c>
      <c r="I1013" s="280"/>
      <c r="J1013" s="72">
        <v>148.52000000000001</v>
      </c>
      <c r="K1013" s="271">
        <f t="shared" si="48"/>
        <v>105947.60504972</v>
      </c>
      <c r="L1013" s="111"/>
      <c r="M1013" s="73"/>
      <c r="N1013" s="112"/>
      <c r="O1013" s="111"/>
      <c r="P1013" s="312">
        <v>0</v>
      </c>
      <c r="Q1013" s="288">
        <f t="shared" si="49"/>
        <v>0</v>
      </c>
      <c r="R1013" s="118">
        <v>0</v>
      </c>
      <c r="S1013" s="283">
        <v>2016</v>
      </c>
      <c r="T1013" s="288">
        <f t="shared" si="47"/>
        <v>114804</v>
      </c>
    </row>
    <row r="1014" spans="2:20">
      <c r="B1014" s="386" t="s">
        <v>1119</v>
      </c>
      <c r="C1014" s="114"/>
      <c r="D1014" s="111" t="s">
        <v>1547</v>
      </c>
      <c r="E1014" s="111" t="s">
        <v>42</v>
      </c>
      <c r="F1014" s="111"/>
      <c r="G1014" s="110" t="s">
        <v>2073</v>
      </c>
      <c r="H1014" s="141">
        <v>86.659693000000004</v>
      </c>
      <c r="I1014" s="280"/>
      <c r="J1014" s="72">
        <v>148.52000000000001</v>
      </c>
      <c r="K1014" s="271">
        <f t="shared" si="48"/>
        <v>12870.697604360001</v>
      </c>
      <c r="L1014" s="111"/>
      <c r="M1014" s="73"/>
      <c r="N1014" s="112"/>
      <c r="O1014" s="111"/>
      <c r="P1014" s="312">
        <v>0</v>
      </c>
      <c r="Q1014" s="288">
        <f t="shared" si="49"/>
        <v>0</v>
      </c>
      <c r="R1014" s="118">
        <v>0</v>
      </c>
      <c r="S1014" s="283">
        <v>2016</v>
      </c>
      <c r="T1014" s="288">
        <f t="shared" si="47"/>
        <v>13947</v>
      </c>
    </row>
    <row r="1015" spans="2:20">
      <c r="B1015" s="386" t="s">
        <v>1120</v>
      </c>
      <c r="C1015" s="114"/>
      <c r="D1015" s="111" t="s">
        <v>1547</v>
      </c>
      <c r="E1015" s="111" t="s">
        <v>42</v>
      </c>
      <c r="F1015" s="111"/>
      <c r="G1015" s="110" t="s">
        <v>2073</v>
      </c>
      <c r="H1015" s="141">
        <v>69.483757999999995</v>
      </c>
      <c r="I1015" s="280"/>
      <c r="J1015" s="72">
        <v>148.52000000000001</v>
      </c>
      <c r="K1015" s="271">
        <f t="shared" si="48"/>
        <v>10319.72773816</v>
      </c>
      <c r="L1015" s="111"/>
      <c r="M1015" s="73"/>
      <c r="N1015" s="112"/>
      <c r="O1015" s="111"/>
      <c r="P1015" s="312">
        <v>0</v>
      </c>
      <c r="Q1015" s="288">
        <f t="shared" si="49"/>
        <v>0</v>
      </c>
      <c r="R1015" s="118">
        <v>0</v>
      </c>
      <c r="S1015" s="283">
        <v>2016</v>
      </c>
      <c r="T1015" s="288">
        <f t="shared" si="47"/>
        <v>11182</v>
      </c>
    </row>
    <row r="1016" spans="2:20">
      <c r="B1016" s="386" t="s">
        <v>1121</v>
      </c>
      <c r="C1016" s="114"/>
      <c r="D1016" s="111" t="s">
        <v>1547</v>
      </c>
      <c r="E1016" s="111" t="s">
        <v>42</v>
      </c>
      <c r="F1016" s="111"/>
      <c r="G1016" s="110" t="s">
        <v>2073</v>
      </c>
      <c r="H1016" s="141">
        <v>298.12239799999998</v>
      </c>
      <c r="I1016" s="280"/>
      <c r="J1016" s="72">
        <v>148.52000000000001</v>
      </c>
      <c r="K1016" s="271">
        <f t="shared" si="48"/>
        <v>44277.13855096</v>
      </c>
      <c r="L1016" s="111"/>
      <c r="M1016" s="73"/>
      <c r="N1016" s="112"/>
      <c r="O1016" s="111"/>
      <c r="P1016" s="312">
        <v>0</v>
      </c>
      <c r="Q1016" s="288">
        <f t="shared" si="49"/>
        <v>0</v>
      </c>
      <c r="R1016" s="118">
        <v>0</v>
      </c>
      <c r="S1016" s="283">
        <v>2016</v>
      </c>
      <c r="T1016" s="288">
        <f t="shared" si="47"/>
        <v>47978</v>
      </c>
    </row>
    <row r="1017" spans="2:20">
      <c r="B1017" s="386" t="s">
        <v>1122</v>
      </c>
      <c r="C1017" s="114"/>
      <c r="D1017" s="111" t="s">
        <v>1547</v>
      </c>
      <c r="E1017" s="111" t="s">
        <v>42</v>
      </c>
      <c r="F1017" s="111"/>
      <c r="G1017" s="110" t="s">
        <v>2073</v>
      </c>
      <c r="H1017" s="141">
        <v>168.489541</v>
      </c>
      <c r="I1017" s="280"/>
      <c r="J1017" s="72">
        <v>148.52000000000001</v>
      </c>
      <c r="K1017" s="271">
        <f t="shared" si="48"/>
        <v>25024.066629320001</v>
      </c>
      <c r="L1017" s="111"/>
      <c r="M1017" s="73"/>
      <c r="N1017" s="112"/>
      <c r="O1017" s="111"/>
      <c r="P1017" s="312">
        <v>0</v>
      </c>
      <c r="Q1017" s="288">
        <f t="shared" si="49"/>
        <v>0</v>
      </c>
      <c r="R1017" s="118">
        <v>0</v>
      </c>
      <c r="S1017" s="283">
        <v>2016</v>
      </c>
      <c r="T1017" s="288">
        <f t="shared" si="47"/>
        <v>27116</v>
      </c>
    </row>
    <row r="1018" spans="2:20">
      <c r="B1018" s="386" t="s">
        <v>1123</v>
      </c>
      <c r="C1018" s="114"/>
      <c r="D1018" s="111" t="s">
        <v>1547</v>
      </c>
      <c r="E1018" s="111" t="s">
        <v>42</v>
      </c>
      <c r="F1018" s="111"/>
      <c r="G1018" s="110" t="s">
        <v>2073</v>
      </c>
      <c r="H1018" s="141">
        <v>29.988548999999999</v>
      </c>
      <c r="I1018" s="280"/>
      <c r="J1018" s="72">
        <v>148.52000000000001</v>
      </c>
      <c r="K1018" s="271">
        <f t="shared" si="48"/>
        <v>4453.8992974800003</v>
      </c>
      <c r="L1018" s="111"/>
      <c r="M1018" s="73"/>
      <c r="N1018" s="112"/>
      <c r="O1018" s="111"/>
      <c r="P1018" s="312">
        <v>0</v>
      </c>
      <c r="Q1018" s="288">
        <f t="shared" si="49"/>
        <v>0</v>
      </c>
      <c r="R1018" s="118">
        <v>0</v>
      </c>
      <c r="S1018" s="283">
        <v>2016</v>
      </c>
      <c r="T1018" s="288">
        <f t="shared" si="47"/>
        <v>4826</v>
      </c>
    </row>
    <row r="1019" spans="2:20">
      <c r="B1019" s="386" t="s">
        <v>1124</v>
      </c>
      <c r="C1019" s="114"/>
      <c r="D1019" s="111" t="s">
        <v>1547</v>
      </c>
      <c r="E1019" s="111" t="s">
        <v>42</v>
      </c>
      <c r="F1019" s="111"/>
      <c r="G1019" s="110" t="s">
        <v>2072</v>
      </c>
      <c r="H1019" s="141">
        <v>88.758942000000005</v>
      </c>
      <c r="I1019" s="280"/>
      <c r="J1019" s="72">
        <v>151.88</v>
      </c>
      <c r="K1019" s="271">
        <f t="shared" si="48"/>
        <v>13480.70811096</v>
      </c>
      <c r="L1019" s="111"/>
      <c r="M1019" s="73"/>
      <c r="N1019" s="112"/>
      <c r="O1019" s="111"/>
      <c r="P1019" s="312">
        <v>0</v>
      </c>
      <c r="Q1019" s="288">
        <f t="shared" si="49"/>
        <v>0</v>
      </c>
      <c r="R1019" s="118">
        <v>0</v>
      </c>
      <c r="S1019" s="283">
        <v>2016</v>
      </c>
      <c r="T1019" s="288">
        <f t="shared" si="47"/>
        <v>14608</v>
      </c>
    </row>
    <row r="1020" spans="2:20">
      <c r="B1020" s="386" t="s">
        <v>1125</v>
      </c>
      <c r="C1020" s="114"/>
      <c r="D1020" s="111" t="s">
        <v>1547</v>
      </c>
      <c r="E1020" s="111" t="s">
        <v>42</v>
      </c>
      <c r="F1020" s="111"/>
      <c r="G1020" s="110" t="s">
        <v>2073</v>
      </c>
      <c r="H1020" s="141">
        <v>155.68515500000001</v>
      </c>
      <c r="I1020" s="280"/>
      <c r="J1020" s="72">
        <v>148.52000000000001</v>
      </c>
      <c r="K1020" s="271">
        <f t="shared" si="48"/>
        <v>23122.359220600003</v>
      </c>
      <c r="L1020" s="111"/>
      <c r="M1020" s="73"/>
      <c r="N1020" s="112"/>
      <c r="O1020" s="111"/>
      <c r="P1020" s="312">
        <v>0</v>
      </c>
      <c r="Q1020" s="288">
        <f t="shared" si="49"/>
        <v>0</v>
      </c>
      <c r="R1020" s="118">
        <v>0</v>
      </c>
      <c r="S1020" s="283">
        <v>2016</v>
      </c>
      <c r="T1020" s="288">
        <f t="shared" si="47"/>
        <v>25055</v>
      </c>
    </row>
    <row r="1021" spans="2:20">
      <c r="B1021" s="386" t="s">
        <v>1126</v>
      </c>
      <c r="C1021" s="114"/>
      <c r="D1021" s="111" t="s">
        <v>1547</v>
      </c>
      <c r="E1021" s="111" t="s">
        <v>42</v>
      </c>
      <c r="F1021" s="111"/>
      <c r="G1021" s="110" t="s">
        <v>2073</v>
      </c>
      <c r="H1021" s="141">
        <v>47.442892999999998</v>
      </c>
      <c r="I1021" s="280"/>
      <c r="J1021" s="72">
        <v>148.52000000000001</v>
      </c>
      <c r="K1021" s="271">
        <f t="shared" si="48"/>
        <v>7046.2184683599999</v>
      </c>
      <c r="L1021" s="111"/>
      <c r="M1021" s="73"/>
      <c r="N1021" s="112"/>
      <c r="O1021" s="111"/>
      <c r="P1021" s="312">
        <v>0</v>
      </c>
      <c r="Q1021" s="288">
        <f t="shared" si="49"/>
        <v>0</v>
      </c>
      <c r="R1021" s="118">
        <v>0</v>
      </c>
      <c r="S1021" s="283">
        <v>2016</v>
      </c>
      <c r="T1021" s="288">
        <f t="shared" si="47"/>
        <v>7635</v>
      </c>
    </row>
    <row r="1022" spans="2:20">
      <c r="B1022" s="386" t="s">
        <v>1127</v>
      </c>
      <c r="C1022" s="114"/>
      <c r="D1022" s="111" t="s">
        <v>1547</v>
      </c>
      <c r="E1022" s="111" t="s">
        <v>42</v>
      </c>
      <c r="F1022" s="111"/>
      <c r="G1022" s="110" t="s">
        <v>2073</v>
      </c>
      <c r="H1022" s="141">
        <v>224.30611500000001</v>
      </c>
      <c r="I1022" s="280"/>
      <c r="J1022" s="72">
        <v>148.52000000000001</v>
      </c>
      <c r="K1022" s="271">
        <f t="shared" si="48"/>
        <v>33313.944199800004</v>
      </c>
      <c r="L1022" s="111"/>
      <c r="M1022" s="73"/>
      <c r="N1022" s="112"/>
      <c r="O1022" s="111"/>
      <c r="P1022" s="312">
        <v>0</v>
      </c>
      <c r="Q1022" s="288">
        <f t="shared" si="49"/>
        <v>0</v>
      </c>
      <c r="R1022" s="118">
        <v>0</v>
      </c>
      <c r="S1022" s="283">
        <v>2016</v>
      </c>
      <c r="T1022" s="288">
        <f t="shared" si="47"/>
        <v>36099</v>
      </c>
    </row>
    <row r="1023" spans="2:20">
      <c r="B1023" s="386" t="s">
        <v>1128</v>
      </c>
      <c r="C1023" s="114"/>
      <c r="D1023" s="111" t="s">
        <v>1547</v>
      </c>
      <c r="E1023" s="111" t="s">
        <v>42</v>
      </c>
      <c r="F1023" s="111"/>
      <c r="G1023" s="110" t="s">
        <v>2073</v>
      </c>
      <c r="H1023" s="141">
        <v>41.998271000000003</v>
      </c>
      <c r="I1023" s="280"/>
      <c r="J1023" s="72">
        <v>148.52000000000001</v>
      </c>
      <c r="K1023" s="271">
        <f t="shared" si="48"/>
        <v>6237.5832089200012</v>
      </c>
      <c r="L1023" s="111"/>
      <c r="M1023" s="73"/>
      <c r="N1023" s="112"/>
      <c r="O1023" s="111"/>
      <c r="P1023" s="312">
        <v>0</v>
      </c>
      <c r="Q1023" s="288">
        <f t="shared" si="49"/>
        <v>0</v>
      </c>
      <c r="R1023" s="118">
        <v>0</v>
      </c>
      <c r="S1023" s="283">
        <v>2016</v>
      </c>
      <c r="T1023" s="288">
        <f t="shared" si="47"/>
        <v>6759</v>
      </c>
    </row>
    <row r="1024" spans="2:20">
      <c r="B1024" s="386" t="s">
        <v>1129</v>
      </c>
      <c r="C1024" s="114"/>
      <c r="D1024" s="111" t="s">
        <v>1547</v>
      </c>
      <c r="E1024" s="111" t="s">
        <v>42</v>
      </c>
      <c r="F1024" s="111"/>
      <c r="G1024" s="110" t="s">
        <v>2072</v>
      </c>
      <c r="H1024" s="141">
        <v>8.2609390000000005</v>
      </c>
      <c r="I1024" s="280"/>
      <c r="J1024" s="72">
        <v>151.88</v>
      </c>
      <c r="K1024" s="271">
        <f t="shared" si="48"/>
        <v>1254.6714153200001</v>
      </c>
      <c r="L1024" s="111"/>
      <c r="M1024" s="73"/>
      <c r="N1024" s="112"/>
      <c r="O1024" s="111"/>
      <c r="P1024" s="312">
        <v>0</v>
      </c>
      <c r="Q1024" s="288">
        <f t="shared" si="49"/>
        <v>0</v>
      </c>
      <c r="R1024" s="118">
        <v>0</v>
      </c>
      <c r="S1024" s="283">
        <v>2016</v>
      </c>
      <c r="T1024" s="288">
        <f t="shared" si="47"/>
        <v>1360</v>
      </c>
    </row>
    <row r="1025" spans="2:20">
      <c r="B1025" s="386" t="s">
        <v>1130</v>
      </c>
      <c r="C1025" s="114"/>
      <c r="D1025" s="111" t="s">
        <v>1547</v>
      </c>
      <c r="E1025" s="111" t="s">
        <v>42</v>
      </c>
      <c r="F1025" s="111"/>
      <c r="G1025" s="110" t="s">
        <v>2073</v>
      </c>
      <c r="H1025" s="141">
        <v>40.544314</v>
      </c>
      <c r="I1025" s="280"/>
      <c r="J1025" s="72">
        <v>148.52000000000001</v>
      </c>
      <c r="K1025" s="271">
        <f t="shared" si="48"/>
        <v>6021.64151528</v>
      </c>
      <c r="L1025" s="111"/>
      <c r="M1025" s="73"/>
      <c r="N1025" s="112"/>
      <c r="O1025" s="111"/>
      <c r="P1025" s="312">
        <v>0</v>
      </c>
      <c r="Q1025" s="288">
        <f t="shared" si="49"/>
        <v>0</v>
      </c>
      <c r="R1025" s="118">
        <v>0</v>
      </c>
      <c r="S1025" s="283">
        <v>2016</v>
      </c>
      <c r="T1025" s="288">
        <f t="shared" si="47"/>
        <v>6525</v>
      </c>
    </row>
    <row r="1026" spans="2:20">
      <c r="B1026" s="386" t="s">
        <v>1131</v>
      </c>
      <c r="C1026" s="114"/>
      <c r="D1026" s="111" t="s">
        <v>1547</v>
      </c>
      <c r="E1026" s="111" t="s">
        <v>42</v>
      </c>
      <c r="F1026" s="111"/>
      <c r="G1026" s="110" t="s">
        <v>2073</v>
      </c>
      <c r="H1026" s="141">
        <v>36.840034000000003</v>
      </c>
      <c r="I1026" s="280"/>
      <c r="J1026" s="72">
        <v>148.52000000000001</v>
      </c>
      <c r="K1026" s="271">
        <f t="shared" si="48"/>
        <v>5471.4818496800008</v>
      </c>
      <c r="L1026" s="111"/>
      <c r="M1026" s="73"/>
      <c r="N1026" s="112"/>
      <c r="O1026" s="111"/>
      <c r="P1026" s="312">
        <v>0</v>
      </c>
      <c r="Q1026" s="288">
        <f t="shared" si="49"/>
        <v>0</v>
      </c>
      <c r="R1026" s="118">
        <v>0</v>
      </c>
      <c r="S1026" s="283">
        <v>2016</v>
      </c>
      <c r="T1026" s="288">
        <f t="shared" si="47"/>
        <v>5929</v>
      </c>
    </row>
    <row r="1027" spans="2:20">
      <c r="B1027" s="386" t="s">
        <v>1132</v>
      </c>
      <c r="C1027" s="114"/>
      <c r="D1027" s="111" t="s">
        <v>1547</v>
      </c>
      <c r="E1027" s="111" t="s">
        <v>42</v>
      </c>
      <c r="F1027" s="111"/>
      <c r="G1027" s="110" t="s">
        <v>2073</v>
      </c>
      <c r="H1027" s="141">
        <v>74.609123999999994</v>
      </c>
      <c r="I1027" s="280"/>
      <c r="J1027" s="72">
        <v>148.52000000000001</v>
      </c>
      <c r="K1027" s="271">
        <f t="shared" si="48"/>
        <v>11080.94709648</v>
      </c>
      <c r="L1027" s="111"/>
      <c r="M1027" s="73"/>
      <c r="N1027" s="112"/>
      <c r="O1027" s="111"/>
      <c r="P1027" s="312">
        <v>0</v>
      </c>
      <c r="Q1027" s="288">
        <f t="shared" si="49"/>
        <v>0</v>
      </c>
      <c r="R1027" s="118">
        <v>0</v>
      </c>
      <c r="S1027" s="283">
        <v>2016</v>
      </c>
      <c r="T1027" s="288">
        <f t="shared" si="47"/>
        <v>12007</v>
      </c>
    </row>
    <row r="1028" spans="2:20">
      <c r="B1028" s="386" t="s">
        <v>1133</v>
      </c>
      <c r="C1028" s="114"/>
      <c r="D1028" s="111" t="s">
        <v>1547</v>
      </c>
      <c r="E1028" s="111" t="s">
        <v>42</v>
      </c>
      <c r="F1028" s="111"/>
      <c r="G1028" s="110" t="s">
        <v>2073</v>
      </c>
      <c r="H1028" s="141">
        <v>24.148586000000002</v>
      </c>
      <c r="I1028" s="280"/>
      <c r="J1028" s="72">
        <v>148.52000000000001</v>
      </c>
      <c r="K1028" s="271">
        <f t="shared" si="48"/>
        <v>3586.5479927200004</v>
      </c>
      <c r="L1028" s="111"/>
      <c r="M1028" s="73"/>
      <c r="N1028" s="112"/>
      <c r="O1028" s="111"/>
      <c r="P1028" s="312">
        <v>0</v>
      </c>
      <c r="Q1028" s="288">
        <f t="shared" si="49"/>
        <v>0</v>
      </c>
      <c r="R1028" s="118">
        <v>0</v>
      </c>
      <c r="S1028" s="283">
        <v>2016</v>
      </c>
      <c r="T1028" s="288">
        <f t="shared" si="47"/>
        <v>3886</v>
      </c>
    </row>
    <row r="1029" spans="2:20">
      <c r="B1029" s="386" t="s">
        <v>1134</v>
      </c>
      <c r="C1029" s="114"/>
      <c r="D1029" s="111" t="s">
        <v>1547</v>
      </c>
      <c r="E1029" s="111" t="s">
        <v>1888</v>
      </c>
      <c r="F1029" s="111"/>
      <c r="G1029" s="110" t="s">
        <v>2073</v>
      </c>
      <c r="H1029" s="141">
        <v>2001.3930769999999</v>
      </c>
      <c r="I1029" s="280"/>
      <c r="J1029" s="72">
        <v>148.52000000000001</v>
      </c>
      <c r="K1029" s="271">
        <f t="shared" si="48"/>
        <v>297246.89979604003</v>
      </c>
      <c r="L1029" s="111"/>
      <c r="M1029" s="73"/>
      <c r="N1029" s="112"/>
      <c r="O1029" s="111"/>
      <c r="P1029" s="312">
        <v>0</v>
      </c>
      <c r="Q1029" s="288">
        <f t="shared" si="49"/>
        <v>0</v>
      </c>
      <c r="R1029" s="118">
        <v>0</v>
      </c>
      <c r="S1029" s="283">
        <v>2016</v>
      </c>
      <c r="T1029" s="288">
        <f t="shared" si="47"/>
        <v>322094</v>
      </c>
    </row>
    <row r="1030" spans="2:20">
      <c r="B1030" s="386" t="s">
        <v>1135</v>
      </c>
      <c r="C1030" s="114"/>
      <c r="D1030" s="111" t="s">
        <v>1547</v>
      </c>
      <c r="E1030" s="111" t="s">
        <v>1889</v>
      </c>
      <c r="F1030" s="111"/>
      <c r="G1030" s="110" t="s">
        <v>2073</v>
      </c>
      <c r="H1030" s="141">
        <v>65.464326999999997</v>
      </c>
      <c r="I1030" s="280"/>
      <c r="J1030" s="72">
        <v>148.52000000000001</v>
      </c>
      <c r="K1030" s="271">
        <f t="shared" si="48"/>
        <v>9722.7618460400008</v>
      </c>
      <c r="L1030" s="111"/>
      <c r="M1030" s="73"/>
      <c r="N1030" s="112"/>
      <c r="O1030" s="111"/>
      <c r="P1030" s="312">
        <v>0</v>
      </c>
      <c r="Q1030" s="288">
        <f t="shared" si="49"/>
        <v>0</v>
      </c>
      <c r="R1030" s="118">
        <v>0</v>
      </c>
      <c r="S1030" s="283">
        <v>2016</v>
      </c>
      <c r="T1030" s="288">
        <f t="shared" si="47"/>
        <v>10535</v>
      </c>
    </row>
    <row r="1031" spans="2:20">
      <c r="B1031" s="386" t="s">
        <v>1136</v>
      </c>
      <c r="C1031" s="114"/>
      <c r="D1031" s="111" t="s">
        <v>1547</v>
      </c>
      <c r="E1031" s="111" t="s">
        <v>1581</v>
      </c>
      <c r="F1031" s="111"/>
      <c r="G1031" s="110" t="s">
        <v>2073</v>
      </c>
      <c r="H1031" s="141">
        <v>466.94055200000003</v>
      </c>
      <c r="I1031" s="280"/>
      <c r="J1031" s="72">
        <v>148.52000000000001</v>
      </c>
      <c r="K1031" s="271">
        <f t="shared" si="48"/>
        <v>69350.010783040008</v>
      </c>
      <c r="L1031" s="111"/>
      <c r="M1031" s="73"/>
      <c r="N1031" s="112"/>
      <c r="O1031" s="111"/>
      <c r="P1031" s="312">
        <v>0</v>
      </c>
      <c r="Q1031" s="288">
        <f t="shared" si="49"/>
        <v>0</v>
      </c>
      <c r="R1031" s="118">
        <v>0</v>
      </c>
      <c r="S1031" s="283">
        <v>2016</v>
      </c>
      <c r="T1031" s="288">
        <f t="shared" si="47"/>
        <v>75147</v>
      </c>
    </row>
    <row r="1032" spans="2:20">
      <c r="B1032" s="386" t="s">
        <v>1137</v>
      </c>
      <c r="C1032" s="114"/>
      <c r="D1032" s="111" t="s">
        <v>1547</v>
      </c>
      <c r="E1032" s="111" t="s">
        <v>1890</v>
      </c>
      <c r="F1032" s="111"/>
      <c r="G1032" s="110" t="s">
        <v>2073</v>
      </c>
      <c r="H1032" s="141">
        <v>728.81748000000005</v>
      </c>
      <c r="I1032" s="280"/>
      <c r="J1032" s="72">
        <v>148.52000000000001</v>
      </c>
      <c r="K1032" s="271">
        <f t="shared" si="48"/>
        <v>108243.97212960002</v>
      </c>
      <c r="L1032" s="111"/>
      <c r="M1032" s="73"/>
      <c r="N1032" s="112"/>
      <c r="O1032" s="111"/>
      <c r="P1032" s="312">
        <v>0</v>
      </c>
      <c r="Q1032" s="288">
        <f t="shared" si="49"/>
        <v>0</v>
      </c>
      <c r="R1032" s="118">
        <v>0</v>
      </c>
      <c r="S1032" s="283">
        <v>2016</v>
      </c>
      <c r="T1032" s="288">
        <f t="shared" si="47"/>
        <v>117292</v>
      </c>
    </row>
    <row r="1033" spans="2:20">
      <c r="B1033" s="386" t="s">
        <v>1138</v>
      </c>
      <c r="C1033" s="114"/>
      <c r="D1033" s="111" t="s">
        <v>1547</v>
      </c>
      <c r="E1033" s="111" t="s">
        <v>1890</v>
      </c>
      <c r="F1033" s="111"/>
      <c r="G1033" s="110" t="s">
        <v>2073</v>
      </c>
      <c r="H1033" s="141">
        <v>76.960723000000002</v>
      </c>
      <c r="I1033" s="280"/>
      <c r="J1033" s="72">
        <v>148.52000000000001</v>
      </c>
      <c r="K1033" s="271">
        <f t="shared" si="48"/>
        <v>11430.20657996</v>
      </c>
      <c r="L1033" s="111"/>
      <c r="M1033" s="73"/>
      <c r="N1033" s="112"/>
      <c r="O1033" s="111"/>
      <c r="P1033" s="312">
        <v>0</v>
      </c>
      <c r="Q1033" s="288">
        <f t="shared" si="49"/>
        <v>0</v>
      </c>
      <c r="R1033" s="118">
        <v>0</v>
      </c>
      <c r="S1033" s="283">
        <v>2016</v>
      </c>
      <c r="T1033" s="288">
        <f t="shared" si="47"/>
        <v>12386</v>
      </c>
    </row>
    <row r="1034" spans="2:20">
      <c r="B1034" s="386" t="s">
        <v>1139</v>
      </c>
      <c r="C1034" s="114"/>
      <c r="D1034" s="111" t="s">
        <v>1547</v>
      </c>
      <c r="E1034" s="111" t="s">
        <v>1891</v>
      </c>
      <c r="F1034" s="111"/>
      <c r="G1034" s="110" t="s">
        <v>2073</v>
      </c>
      <c r="H1034" s="141">
        <v>329.96434399999998</v>
      </c>
      <c r="I1034" s="280"/>
      <c r="J1034" s="72">
        <v>148.52000000000001</v>
      </c>
      <c r="K1034" s="271">
        <f t="shared" si="48"/>
        <v>49006.304370880003</v>
      </c>
      <c r="L1034" s="111"/>
      <c r="M1034" s="73"/>
      <c r="N1034" s="112"/>
      <c r="O1034" s="111"/>
      <c r="P1034" s="312">
        <v>0</v>
      </c>
      <c r="Q1034" s="288">
        <f t="shared" si="49"/>
        <v>0</v>
      </c>
      <c r="R1034" s="118">
        <v>0</v>
      </c>
      <c r="S1034" s="283">
        <v>2016</v>
      </c>
      <c r="T1034" s="288">
        <f t="shared" si="47"/>
        <v>53103</v>
      </c>
    </row>
    <row r="1035" spans="2:20">
      <c r="B1035" s="386" t="s">
        <v>1140</v>
      </c>
      <c r="C1035" s="114"/>
      <c r="D1035" s="111" t="s">
        <v>1547</v>
      </c>
      <c r="E1035" s="111" t="s">
        <v>1891</v>
      </c>
      <c r="F1035" s="111"/>
      <c r="G1035" s="110" t="s">
        <v>2072</v>
      </c>
      <c r="H1035" s="141">
        <v>122.057812</v>
      </c>
      <c r="I1035" s="280"/>
      <c r="J1035" s="72">
        <v>151.88</v>
      </c>
      <c r="K1035" s="271">
        <f t="shared" si="48"/>
        <v>18538.140486559998</v>
      </c>
      <c r="L1035" s="111"/>
      <c r="M1035" s="73"/>
      <c r="N1035" s="112"/>
      <c r="O1035" s="111"/>
      <c r="P1035" s="312">
        <v>0</v>
      </c>
      <c r="Q1035" s="288">
        <f t="shared" si="49"/>
        <v>0</v>
      </c>
      <c r="R1035" s="118">
        <v>0</v>
      </c>
      <c r="S1035" s="283">
        <v>2016</v>
      </c>
      <c r="T1035" s="288">
        <f t="shared" si="47"/>
        <v>20088</v>
      </c>
    </row>
    <row r="1036" spans="2:20">
      <c r="B1036" s="386" t="s">
        <v>1141</v>
      </c>
      <c r="C1036" s="114"/>
      <c r="D1036" s="111" t="s">
        <v>1547</v>
      </c>
      <c r="E1036" s="111" t="s">
        <v>1892</v>
      </c>
      <c r="F1036" s="111"/>
      <c r="G1036" s="110" t="s">
        <v>2073</v>
      </c>
      <c r="H1036" s="141">
        <v>4.6577950000000001</v>
      </c>
      <c r="I1036" s="280"/>
      <c r="J1036" s="72">
        <v>148.52000000000001</v>
      </c>
      <c r="K1036" s="271">
        <f t="shared" si="48"/>
        <v>691.77571340000009</v>
      </c>
      <c r="L1036" s="111"/>
      <c r="M1036" s="73"/>
      <c r="N1036" s="112"/>
      <c r="O1036" s="111"/>
      <c r="P1036" s="312">
        <v>0</v>
      </c>
      <c r="Q1036" s="288">
        <f t="shared" si="49"/>
        <v>0</v>
      </c>
      <c r="R1036" s="118">
        <v>0</v>
      </c>
      <c r="S1036" s="283">
        <v>2016</v>
      </c>
      <c r="T1036" s="288">
        <f t="shared" si="47"/>
        <v>750</v>
      </c>
    </row>
    <row r="1037" spans="2:20">
      <c r="B1037" s="386" t="s">
        <v>1142</v>
      </c>
      <c r="C1037" s="114"/>
      <c r="D1037" s="111" t="s">
        <v>1547</v>
      </c>
      <c r="E1037" s="111" t="s">
        <v>1893</v>
      </c>
      <c r="F1037" s="111"/>
      <c r="G1037" s="110" t="s">
        <v>2072</v>
      </c>
      <c r="H1037" s="141">
        <v>52.221640000000001</v>
      </c>
      <c r="I1037" s="280"/>
      <c r="J1037" s="72">
        <v>151.88</v>
      </c>
      <c r="K1037" s="271">
        <f t="shared" si="48"/>
        <v>7931.4226831999995</v>
      </c>
      <c r="L1037" s="111"/>
      <c r="M1037" s="73"/>
      <c r="N1037" s="112"/>
      <c r="O1037" s="111"/>
      <c r="P1037" s="312">
        <v>0</v>
      </c>
      <c r="Q1037" s="288">
        <f t="shared" si="49"/>
        <v>0</v>
      </c>
      <c r="R1037" s="118">
        <v>0</v>
      </c>
      <c r="S1037" s="283">
        <v>2016</v>
      </c>
      <c r="T1037" s="288">
        <f t="shared" ref="T1037:T1100" si="50">IFERROR(ROUND((K1037*(1+PPI_Existing)^(YEAR-S1037))+(R1037*((1+LandInd_Existing)^(YEAR-S1037))),0),0)</f>
        <v>8594</v>
      </c>
    </row>
    <row r="1038" spans="2:20">
      <c r="B1038" s="386" t="s">
        <v>1143</v>
      </c>
      <c r="C1038" s="114"/>
      <c r="D1038" s="111" t="s">
        <v>1547</v>
      </c>
      <c r="E1038" s="111" t="s">
        <v>1894</v>
      </c>
      <c r="F1038" s="111"/>
      <c r="G1038" s="110" t="s">
        <v>2073</v>
      </c>
      <c r="H1038" s="141">
        <v>204.795559</v>
      </c>
      <c r="I1038" s="280"/>
      <c r="J1038" s="72">
        <v>148.52000000000001</v>
      </c>
      <c r="K1038" s="271">
        <f t="shared" si="48"/>
        <v>30416.236422680002</v>
      </c>
      <c r="L1038" s="111"/>
      <c r="M1038" s="73"/>
      <c r="N1038" s="112"/>
      <c r="O1038" s="111"/>
      <c r="P1038" s="312">
        <v>0</v>
      </c>
      <c r="Q1038" s="288">
        <f t="shared" si="49"/>
        <v>0</v>
      </c>
      <c r="R1038" s="118">
        <v>0</v>
      </c>
      <c r="S1038" s="283">
        <v>2016</v>
      </c>
      <c r="T1038" s="288">
        <f t="shared" si="50"/>
        <v>32959</v>
      </c>
    </row>
    <row r="1039" spans="2:20">
      <c r="B1039" s="386" t="s">
        <v>1144</v>
      </c>
      <c r="C1039" s="114"/>
      <c r="D1039" s="111" t="s">
        <v>1547</v>
      </c>
      <c r="E1039" s="111" t="s">
        <v>1894</v>
      </c>
      <c r="F1039" s="111"/>
      <c r="G1039" s="110" t="s">
        <v>2073</v>
      </c>
      <c r="H1039" s="141">
        <v>47.913474999999998</v>
      </c>
      <c r="I1039" s="280"/>
      <c r="J1039" s="72">
        <v>148.52000000000001</v>
      </c>
      <c r="K1039" s="271">
        <f t="shared" si="48"/>
        <v>7116.1093070000006</v>
      </c>
      <c r="L1039" s="111"/>
      <c r="M1039" s="73"/>
      <c r="N1039" s="112"/>
      <c r="O1039" s="111"/>
      <c r="P1039" s="312">
        <v>0</v>
      </c>
      <c r="Q1039" s="288">
        <f t="shared" si="49"/>
        <v>0</v>
      </c>
      <c r="R1039" s="118">
        <v>0</v>
      </c>
      <c r="S1039" s="283">
        <v>2016</v>
      </c>
      <c r="T1039" s="288">
        <f t="shared" si="50"/>
        <v>7711</v>
      </c>
    </row>
    <row r="1040" spans="2:20">
      <c r="B1040" s="386" t="s">
        <v>1145</v>
      </c>
      <c r="C1040" s="114"/>
      <c r="D1040" s="111" t="s">
        <v>1547</v>
      </c>
      <c r="E1040" s="111" t="s">
        <v>1894</v>
      </c>
      <c r="F1040" s="111"/>
      <c r="G1040" s="110" t="s">
        <v>2073</v>
      </c>
      <c r="H1040" s="141">
        <v>101.29760899999999</v>
      </c>
      <c r="I1040" s="280"/>
      <c r="J1040" s="72">
        <v>148.52000000000001</v>
      </c>
      <c r="K1040" s="271">
        <f t="shared" si="48"/>
        <v>15044.72088868</v>
      </c>
      <c r="L1040" s="111"/>
      <c r="M1040" s="73"/>
      <c r="N1040" s="112"/>
      <c r="O1040" s="111"/>
      <c r="P1040" s="312">
        <v>0</v>
      </c>
      <c r="Q1040" s="288">
        <f t="shared" si="49"/>
        <v>0</v>
      </c>
      <c r="R1040" s="118">
        <v>0</v>
      </c>
      <c r="S1040" s="283">
        <v>2016</v>
      </c>
      <c r="T1040" s="288">
        <f t="shared" si="50"/>
        <v>16302</v>
      </c>
    </row>
    <row r="1041" spans="2:20">
      <c r="B1041" s="386" t="s">
        <v>1146</v>
      </c>
      <c r="C1041" s="114"/>
      <c r="D1041" s="111" t="s">
        <v>1547</v>
      </c>
      <c r="E1041" s="111" t="s">
        <v>1894</v>
      </c>
      <c r="F1041" s="111"/>
      <c r="G1041" s="110" t="s">
        <v>2073</v>
      </c>
      <c r="H1041" s="141">
        <v>69.253303000000002</v>
      </c>
      <c r="I1041" s="280"/>
      <c r="J1041" s="72">
        <v>148.52000000000001</v>
      </c>
      <c r="K1041" s="271">
        <f t="shared" si="48"/>
        <v>10285.50056156</v>
      </c>
      <c r="L1041" s="111"/>
      <c r="M1041" s="73"/>
      <c r="N1041" s="112"/>
      <c r="O1041" s="111"/>
      <c r="P1041" s="312">
        <v>0</v>
      </c>
      <c r="Q1041" s="288">
        <f t="shared" si="49"/>
        <v>0</v>
      </c>
      <c r="R1041" s="118">
        <v>0</v>
      </c>
      <c r="S1041" s="283">
        <v>2016</v>
      </c>
      <c r="T1041" s="288">
        <f t="shared" si="50"/>
        <v>11145</v>
      </c>
    </row>
    <row r="1042" spans="2:20">
      <c r="B1042" s="386" t="s">
        <v>1147</v>
      </c>
      <c r="C1042" s="114"/>
      <c r="D1042" s="111" t="s">
        <v>1547</v>
      </c>
      <c r="E1042" s="111" t="s">
        <v>1895</v>
      </c>
      <c r="F1042" s="111"/>
      <c r="G1042" s="110" t="s">
        <v>2072</v>
      </c>
      <c r="H1042" s="141">
        <v>36.945439</v>
      </c>
      <c r="I1042" s="280"/>
      <c r="J1042" s="72">
        <v>151.88</v>
      </c>
      <c r="K1042" s="271">
        <f t="shared" si="48"/>
        <v>5611.2732753199998</v>
      </c>
      <c r="L1042" s="111"/>
      <c r="M1042" s="73"/>
      <c r="N1042" s="112"/>
      <c r="O1042" s="111"/>
      <c r="P1042" s="312">
        <v>0</v>
      </c>
      <c r="Q1042" s="288">
        <f t="shared" si="49"/>
        <v>0</v>
      </c>
      <c r="R1042" s="118">
        <v>0</v>
      </c>
      <c r="S1042" s="283">
        <v>2016</v>
      </c>
      <c r="T1042" s="288">
        <f t="shared" si="50"/>
        <v>6080</v>
      </c>
    </row>
    <row r="1043" spans="2:20">
      <c r="B1043" s="386" t="s">
        <v>1148</v>
      </c>
      <c r="C1043" s="114"/>
      <c r="D1043" s="111" t="s">
        <v>1547</v>
      </c>
      <c r="E1043" s="111" t="s">
        <v>1896</v>
      </c>
      <c r="F1043" s="111"/>
      <c r="G1043" s="110" t="s">
        <v>2073</v>
      </c>
      <c r="H1043" s="141">
        <v>30.976669000000001</v>
      </c>
      <c r="I1043" s="280"/>
      <c r="J1043" s="72">
        <v>148.52000000000001</v>
      </c>
      <c r="K1043" s="271">
        <f t="shared" si="48"/>
        <v>4600.6548798800004</v>
      </c>
      <c r="L1043" s="111"/>
      <c r="M1043" s="73"/>
      <c r="N1043" s="112"/>
      <c r="O1043" s="111"/>
      <c r="P1043" s="312">
        <v>0</v>
      </c>
      <c r="Q1043" s="288">
        <f t="shared" si="49"/>
        <v>0</v>
      </c>
      <c r="R1043" s="118">
        <v>0</v>
      </c>
      <c r="S1043" s="283">
        <v>2016</v>
      </c>
      <c r="T1043" s="288">
        <f t="shared" si="50"/>
        <v>4985</v>
      </c>
    </row>
    <row r="1044" spans="2:20">
      <c r="B1044" s="386" t="s">
        <v>1149</v>
      </c>
      <c r="C1044" s="114"/>
      <c r="D1044" s="111" t="s">
        <v>1547</v>
      </c>
      <c r="E1044" s="111" t="s">
        <v>1898</v>
      </c>
      <c r="F1044" s="111"/>
      <c r="G1044" s="110" t="s">
        <v>2073</v>
      </c>
      <c r="H1044" s="141">
        <v>686.52148799999998</v>
      </c>
      <c r="I1044" s="280"/>
      <c r="J1044" s="72">
        <v>148.52000000000001</v>
      </c>
      <c r="K1044" s="271">
        <f t="shared" si="48"/>
        <v>101962.17139776</v>
      </c>
      <c r="L1044" s="111"/>
      <c r="M1044" s="73"/>
      <c r="N1044" s="112"/>
      <c r="O1044" s="111"/>
      <c r="P1044" s="312">
        <v>0</v>
      </c>
      <c r="Q1044" s="288">
        <f t="shared" si="49"/>
        <v>0</v>
      </c>
      <c r="R1044" s="118">
        <v>0</v>
      </c>
      <c r="S1044" s="283">
        <v>2016</v>
      </c>
      <c r="T1044" s="288">
        <f t="shared" si="50"/>
        <v>110485</v>
      </c>
    </row>
    <row r="1045" spans="2:20">
      <c r="B1045" s="386" t="s">
        <v>1150</v>
      </c>
      <c r="C1045" s="114"/>
      <c r="D1045" s="111" t="s">
        <v>1547</v>
      </c>
      <c r="E1045" s="111" t="s">
        <v>1898</v>
      </c>
      <c r="F1045" s="111"/>
      <c r="G1045" s="110" t="s">
        <v>2073</v>
      </c>
      <c r="H1045" s="141">
        <v>102.182588</v>
      </c>
      <c r="I1045" s="280"/>
      <c r="J1045" s="72">
        <v>148.52000000000001</v>
      </c>
      <c r="K1045" s="271">
        <f t="shared" si="48"/>
        <v>15176.157969760001</v>
      </c>
      <c r="L1045" s="111"/>
      <c r="M1045" s="73"/>
      <c r="N1045" s="112"/>
      <c r="O1045" s="111"/>
      <c r="P1045" s="312">
        <v>0</v>
      </c>
      <c r="Q1045" s="288">
        <f t="shared" si="49"/>
        <v>0</v>
      </c>
      <c r="R1045" s="118">
        <v>0</v>
      </c>
      <c r="S1045" s="283">
        <v>2016</v>
      </c>
      <c r="T1045" s="288">
        <f t="shared" si="50"/>
        <v>16445</v>
      </c>
    </row>
    <row r="1046" spans="2:20">
      <c r="B1046" s="386" t="s">
        <v>1151</v>
      </c>
      <c r="C1046" s="114"/>
      <c r="D1046" s="111" t="s">
        <v>1547</v>
      </c>
      <c r="E1046" s="111" t="s">
        <v>1899</v>
      </c>
      <c r="F1046" s="111"/>
      <c r="G1046" s="110" t="s">
        <v>2073</v>
      </c>
      <c r="H1046" s="141">
        <v>486.07883500000003</v>
      </c>
      <c r="I1046" s="280"/>
      <c r="J1046" s="72">
        <v>148.52000000000001</v>
      </c>
      <c r="K1046" s="271">
        <f t="shared" si="48"/>
        <v>72192.428574200007</v>
      </c>
      <c r="L1046" s="111"/>
      <c r="M1046" s="73"/>
      <c r="N1046" s="112"/>
      <c r="O1046" s="111"/>
      <c r="P1046" s="312">
        <v>0</v>
      </c>
      <c r="Q1046" s="288">
        <f t="shared" si="49"/>
        <v>0</v>
      </c>
      <c r="R1046" s="118">
        <v>0</v>
      </c>
      <c r="S1046" s="283">
        <v>2016</v>
      </c>
      <c r="T1046" s="288">
        <f t="shared" si="50"/>
        <v>78227</v>
      </c>
    </row>
    <row r="1047" spans="2:20">
      <c r="B1047" s="386" t="s">
        <v>1152</v>
      </c>
      <c r="C1047" s="114"/>
      <c r="D1047" s="111" t="s">
        <v>1547</v>
      </c>
      <c r="E1047" s="111" t="s">
        <v>1900</v>
      </c>
      <c r="F1047" s="111"/>
      <c r="G1047" s="110" t="s">
        <v>2073</v>
      </c>
      <c r="H1047" s="141">
        <v>767.31254100000001</v>
      </c>
      <c r="I1047" s="280"/>
      <c r="J1047" s="72">
        <v>148.52000000000001</v>
      </c>
      <c r="K1047" s="271">
        <f t="shared" si="48"/>
        <v>113961.25858932002</v>
      </c>
      <c r="L1047" s="111"/>
      <c r="M1047" s="73"/>
      <c r="N1047" s="112"/>
      <c r="O1047" s="111"/>
      <c r="P1047" s="312">
        <v>0</v>
      </c>
      <c r="Q1047" s="288">
        <f t="shared" si="49"/>
        <v>0</v>
      </c>
      <c r="R1047" s="118">
        <v>0</v>
      </c>
      <c r="S1047" s="283">
        <v>2016</v>
      </c>
      <c r="T1047" s="288">
        <f t="shared" si="50"/>
        <v>123487</v>
      </c>
    </row>
    <row r="1048" spans="2:20">
      <c r="B1048" s="386" t="s">
        <v>1153</v>
      </c>
      <c r="C1048" s="114"/>
      <c r="D1048" s="111" t="s">
        <v>1547</v>
      </c>
      <c r="E1048" s="111" t="s">
        <v>1901</v>
      </c>
      <c r="F1048" s="111"/>
      <c r="G1048" s="110" t="s">
        <v>2073</v>
      </c>
      <c r="H1048" s="141">
        <v>44.757753999999998</v>
      </c>
      <c r="I1048" s="280"/>
      <c r="J1048" s="72">
        <v>148.52000000000001</v>
      </c>
      <c r="K1048" s="271">
        <f t="shared" si="48"/>
        <v>6647.4216240800006</v>
      </c>
      <c r="L1048" s="111"/>
      <c r="M1048" s="73"/>
      <c r="N1048" s="112"/>
      <c r="O1048" s="111"/>
      <c r="P1048" s="312">
        <v>0</v>
      </c>
      <c r="Q1048" s="288">
        <f t="shared" si="49"/>
        <v>0</v>
      </c>
      <c r="R1048" s="118">
        <v>0</v>
      </c>
      <c r="S1048" s="283">
        <v>2016</v>
      </c>
      <c r="T1048" s="288">
        <f t="shared" si="50"/>
        <v>7203</v>
      </c>
    </row>
    <row r="1049" spans="2:20">
      <c r="B1049" s="386" t="s">
        <v>1154</v>
      </c>
      <c r="C1049" s="114"/>
      <c r="D1049" s="111" t="s">
        <v>1547</v>
      </c>
      <c r="E1049" s="111" t="s">
        <v>1901</v>
      </c>
      <c r="F1049" s="111"/>
      <c r="G1049" s="110" t="s">
        <v>2073</v>
      </c>
      <c r="H1049" s="141">
        <v>312.71367600000002</v>
      </c>
      <c r="I1049" s="280"/>
      <c r="J1049" s="72">
        <v>148.52000000000001</v>
      </c>
      <c r="K1049" s="271">
        <f t="shared" si="48"/>
        <v>46444.235159520009</v>
      </c>
      <c r="L1049" s="111"/>
      <c r="M1049" s="73"/>
      <c r="N1049" s="112"/>
      <c r="O1049" s="111"/>
      <c r="P1049" s="312">
        <v>0</v>
      </c>
      <c r="Q1049" s="288">
        <f t="shared" si="49"/>
        <v>0</v>
      </c>
      <c r="R1049" s="118">
        <v>0</v>
      </c>
      <c r="S1049" s="283">
        <v>2016</v>
      </c>
      <c r="T1049" s="288">
        <f t="shared" si="50"/>
        <v>50326</v>
      </c>
    </row>
    <row r="1050" spans="2:20">
      <c r="B1050" s="386" t="s">
        <v>1155</v>
      </c>
      <c r="C1050" s="114"/>
      <c r="D1050" s="111" t="s">
        <v>1547</v>
      </c>
      <c r="E1050" s="111" t="s">
        <v>1902</v>
      </c>
      <c r="F1050" s="111"/>
      <c r="G1050" s="110" t="s">
        <v>2073</v>
      </c>
      <c r="H1050" s="141">
        <v>138.730335</v>
      </c>
      <c r="I1050" s="280"/>
      <c r="J1050" s="72">
        <v>148.52000000000001</v>
      </c>
      <c r="K1050" s="271">
        <f t="shared" si="48"/>
        <v>20604.229354200001</v>
      </c>
      <c r="L1050" s="111"/>
      <c r="M1050" s="73"/>
      <c r="N1050" s="112"/>
      <c r="O1050" s="111"/>
      <c r="P1050" s="312">
        <v>0</v>
      </c>
      <c r="Q1050" s="288">
        <f t="shared" si="49"/>
        <v>0</v>
      </c>
      <c r="R1050" s="118">
        <v>0</v>
      </c>
      <c r="S1050" s="283">
        <v>2016</v>
      </c>
      <c r="T1050" s="288">
        <f t="shared" si="50"/>
        <v>22327</v>
      </c>
    </row>
    <row r="1051" spans="2:20">
      <c r="B1051" s="386" t="s">
        <v>1156</v>
      </c>
      <c r="C1051" s="114"/>
      <c r="D1051" s="111" t="s">
        <v>1547</v>
      </c>
      <c r="E1051" s="111" t="s">
        <v>1902</v>
      </c>
      <c r="F1051" s="111"/>
      <c r="G1051" s="110" t="s">
        <v>2073</v>
      </c>
      <c r="H1051" s="141">
        <v>266.89587699999998</v>
      </c>
      <c r="I1051" s="280"/>
      <c r="J1051" s="72">
        <v>148.52000000000001</v>
      </c>
      <c r="K1051" s="271">
        <f t="shared" si="48"/>
        <v>39639.375652039998</v>
      </c>
      <c r="L1051" s="111"/>
      <c r="M1051" s="73"/>
      <c r="N1051" s="112"/>
      <c r="O1051" s="111"/>
      <c r="P1051" s="312">
        <v>0</v>
      </c>
      <c r="Q1051" s="288">
        <f t="shared" si="49"/>
        <v>0</v>
      </c>
      <c r="R1051" s="118">
        <v>0</v>
      </c>
      <c r="S1051" s="283">
        <v>2016</v>
      </c>
      <c r="T1051" s="288">
        <f t="shared" si="50"/>
        <v>42953</v>
      </c>
    </row>
    <row r="1052" spans="2:20">
      <c r="B1052" s="386" t="s">
        <v>1157</v>
      </c>
      <c r="C1052" s="114"/>
      <c r="D1052" s="111" t="s">
        <v>1547</v>
      </c>
      <c r="E1052" s="111" t="s">
        <v>1902</v>
      </c>
      <c r="F1052" s="111"/>
      <c r="G1052" s="110" t="s">
        <v>2073</v>
      </c>
      <c r="H1052" s="141">
        <v>612.84282599999995</v>
      </c>
      <c r="I1052" s="280"/>
      <c r="J1052" s="72">
        <v>148.52000000000001</v>
      </c>
      <c r="K1052" s="271">
        <f t="shared" ref="K1052:K1112" si="51">J1052*H1052</f>
        <v>91019.416517520003</v>
      </c>
      <c r="L1052" s="111"/>
      <c r="M1052" s="73"/>
      <c r="N1052" s="112"/>
      <c r="O1052" s="111"/>
      <c r="P1052" s="312">
        <v>0</v>
      </c>
      <c r="Q1052" s="288">
        <f t="shared" ref="Q1052:Q1112" si="52">IFERROR(R1052/P1052,0)</f>
        <v>0</v>
      </c>
      <c r="R1052" s="118">
        <v>0</v>
      </c>
      <c r="S1052" s="283">
        <v>2016</v>
      </c>
      <c r="T1052" s="288">
        <f t="shared" si="50"/>
        <v>98628</v>
      </c>
    </row>
    <row r="1053" spans="2:20">
      <c r="B1053" s="386" t="s">
        <v>1158</v>
      </c>
      <c r="C1053" s="114"/>
      <c r="D1053" s="111" t="s">
        <v>1547</v>
      </c>
      <c r="E1053" s="111" t="s">
        <v>1902</v>
      </c>
      <c r="F1053" s="111"/>
      <c r="G1053" s="110" t="s">
        <v>2073</v>
      </c>
      <c r="H1053" s="141">
        <v>22.633161999999999</v>
      </c>
      <c r="I1053" s="280"/>
      <c r="J1053" s="72">
        <v>148.52000000000001</v>
      </c>
      <c r="K1053" s="271">
        <f t="shared" si="51"/>
        <v>3361.47722024</v>
      </c>
      <c r="L1053" s="111"/>
      <c r="M1053" s="73"/>
      <c r="N1053" s="112"/>
      <c r="O1053" s="111"/>
      <c r="P1053" s="312">
        <v>0</v>
      </c>
      <c r="Q1053" s="288">
        <f t="shared" si="52"/>
        <v>0</v>
      </c>
      <c r="R1053" s="118">
        <v>0</v>
      </c>
      <c r="S1053" s="283">
        <v>2016</v>
      </c>
      <c r="T1053" s="288">
        <f t="shared" si="50"/>
        <v>3642</v>
      </c>
    </row>
    <row r="1054" spans="2:20">
      <c r="B1054" s="386" t="s">
        <v>1159</v>
      </c>
      <c r="C1054" s="114"/>
      <c r="D1054" s="111" t="s">
        <v>1547</v>
      </c>
      <c r="E1054" s="111" t="s">
        <v>1903</v>
      </c>
      <c r="F1054" s="111"/>
      <c r="G1054" s="110" t="s">
        <v>2073</v>
      </c>
      <c r="H1054" s="141">
        <v>401.92806999999999</v>
      </c>
      <c r="I1054" s="280"/>
      <c r="J1054" s="72">
        <v>148.52000000000001</v>
      </c>
      <c r="K1054" s="271">
        <f t="shared" si="51"/>
        <v>59694.356956400006</v>
      </c>
      <c r="L1054" s="111"/>
      <c r="M1054" s="73"/>
      <c r="N1054" s="112"/>
      <c r="O1054" s="111"/>
      <c r="P1054" s="312">
        <v>0</v>
      </c>
      <c r="Q1054" s="288">
        <f t="shared" si="52"/>
        <v>0</v>
      </c>
      <c r="R1054" s="118">
        <v>0</v>
      </c>
      <c r="S1054" s="283">
        <v>2016</v>
      </c>
      <c r="T1054" s="288">
        <f t="shared" si="50"/>
        <v>64684</v>
      </c>
    </row>
    <row r="1055" spans="2:20">
      <c r="B1055" s="386" t="s">
        <v>1160</v>
      </c>
      <c r="C1055" s="114"/>
      <c r="D1055" s="111" t="s">
        <v>1547</v>
      </c>
      <c r="E1055" s="111" t="s">
        <v>1903</v>
      </c>
      <c r="F1055" s="111"/>
      <c r="G1055" s="110" t="s">
        <v>2073</v>
      </c>
      <c r="H1055" s="141">
        <v>323.02390400000002</v>
      </c>
      <c r="I1055" s="280"/>
      <c r="J1055" s="72">
        <v>148.52000000000001</v>
      </c>
      <c r="K1055" s="271">
        <f t="shared" si="51"/>
        <v>47975.510222080004</v>
      </c>
      <c r="L1055" s="111"/>
      <c r="M1055" s="73"/>
      <c r="N1055" s="112"/>
      <c r="O1055" s="111"/>
      <c r="P1055" s="312">
        <v>0</v>
      </c>
      <c r="Q1055" s="288">
        <f t="shared" si="52"/>
        <v>0</v>
      </c>
      <c r="R1055" s="118">
        <v>0</v>
      </c>
      <c r="S1055" s="283">
        <v>2016</v>
      </c>
      <c r="T1055" s="288">
        <f t="shared" si="50"/>
        <v>51986</v>
      </c>
    </row>
    <row r="1056" spans="2:20">
      <c r="B1056" s="386" t="s">
        <v>1161</v>
      </c>
      <c r="C1056" s="114"/>
      <c r="D1056" s="111" t="s">
        <v>1547</v>
      </c>
      <c r="E1056" s="111" t="s">
        <v>1903</v>
      </c>
      <c r="F1056" s="111"/>
      <c r="G1056" s="110" t="s">
        <v>2073</v>
      </c>
      <c r="H1056" s="141">
        <v>378.01501000000002</v>
      </c>
      <c r="I1056" s="280"/>
      <c r="J1056" s="72">
        <v>148.52000000000001</v>
      </c>
      <c r="K1056" s="271">
        <f t="shared" si="51"/>
        <v>56142.789285200008</v>
      </c>
      <c r="L1056" s="111"/>
      <c r="M1056" s="73"/>
      <c r="N1056" s="112"/>
      <c r="O1056" s="111"/>
      <c r="P1056" s="312">
        <v>0</v>
      </c>
      <c r="Q1056" s="288">
        <f t="shared" si="52"/>
        <v>0</v>
      </c>
      <c r="R1056" s="118">
        <v>0</v>
      </c>
      <c r="S1056" s="283">
        <v>2016</v>
      </c>
      <c r="T1056" s="288">
        <f t="shared" si="50"/>
        <v>60836</v>
      </c>
    </row>
    <row r="1057" spans="2:20">
      <c r="B1057" s="386" t="s">
        <v>1162</v>
      </c>
      <c r="C1057" s="114"/>
      <c r="D1057" s="111" t="s">
        <v>1547</v>
      </c>
      <c r="E1057" s="111" t="s">
        <v>1762</v>
      </c>
      <c r="F1057" s="111"/>
      <c r="G1057" s="110" t="s">
        <v>2073</v>
      </c>
      <c r="H1057" s="141">
        <v>238.925805</v>
      </c>
      <c r="I1057" s="280"/>
      <c r="J1057" s="72">
        <v>148.52000000000001</v>
      </c>
      <c r="K1057" s="271">
        <f t="shared" si="51"/>
        <v>35485.260558599999</v>
      </c>
      <c r="L1057" s="111"/>
      <c r="M1057" s="73"/>
      <c r="N1057" s="112"/>
      <c r="O1057" s="111"/>
      <c r="P1057" s="312">
        <v>0</v>
      </c>
      <c r="Q1057" s="288">
        <f t="shared" si="52"/>
        <v>0</v>
      </c>
      <c r="R1057" s="118">
        <v>0</v>
      </c>
      <c r="S1057" s="283">
        <v>2016</v>
      </c>
      <c r="T1057" s="288">
        <f t="shared" si="50"/>
        <v>38451</v>
      </c>
    </row>
    <row r="1058" spans="2:20">
      <c r="B1058" s="386" t="s">
        <v>1163</v>
      </c>
      <c r="C1058" s="114"/>
      <c r="D1058" s="111" t="s">
        <v>1547</v>
      </c>
      <c r="E1058" s="111" t="s">
        <v>1748</v>
      </c>
      <c r="F1058" s="111"/>
      <c r="G1058" s="110" t="s">
        <v>2073</v>
      </c>
      <c r="H1058" s="141">
        <v>79.684533999999999</v>
      </c>
      <c r="I1058" s="280"/>
      <c r="J1058" s="72">
        <v>148.52000000000001</v>
      </c>
      <c r="K1058" s="271">
        <f t="shared" si="51"/>
        <v>11834.746989680001</v>
      </c>
      <c r="L1058" s="111"/>
      <c r="M1058" s="73"/>
      <c r="N1058" s="112"/>
      <c r="O1058" s="111"/>
      <c r="P1058" s="312">
        <v>0</v>
      </c>
      <c r="Q1058" s="288">
        <f t="shared" si="52"/>
        <v>0</v>
      </c>
      <c r="R1058" s="118">
        <v>0</v>
      </c>
      <c r="S1058" s="283">
        <v>2016</v>
      </c>
      <c r="T1058" s="288">
        <f t="shared" si="50"/>
        <v>12824</v>
      </c>
    </row>
    <row r="1059" spans="2:20">
      <c r="B1059" s="386" t="s">
        <v>1164</v>
      </c>
      <c r="C1059" s="114"/>
      <c r="D1059" s="111" t="s">
        <v>1547</v>
      </c>
      <c r="E1059" s="111" t="s">
        <v>1904</v>
      </c>
      <c r="F1059" s="111"/>
      <c r="G1059" s="110" t="s">
        <v>2073</v>
      </c>
      <c r="H1059" s="141">
        <v>63.836727000000003</v>
      </c>
      <c r="I1059" s="280"/>
      <c r="J1059" s="72">
        <v>148.52000000000001</v>
      </c>
      <c r="K1059" s="271">
        <f t="shared" si="51"/>
        <v>9481.0306940400005</v>
      </c>
      <c r="L1059" s="111"/>
      <c r="M1059" s="73"/>
      <c r="N1059" s="112"/>
      <c r="O1059" s="111"/>
      <c r="P1059" s="312">
        <v>0</v>
      </c>
      <c r="Q1059" s="288">
        <f t="shared" si="52"/>
        <v>0</v>
      </c>
      <c r="R1059" s="118">
        <v>0</v>
      </c>
      <c r="S1059" s="283">
        <v>2016</v>
      </c>
      <c r="T1059" s="288">
        <f t="shared" si="50"/>
        <v>10274</v>
      </c>
    </row>
    <row r="1060" spans="2:20">
      <c r="B1060" s="386" t="s">
        <v>1165</v>
      </c>
      <c r="C1060" s="114"/>
      <c r="D1060" s="111" t="s">
        <v>1547</v>
      </c>
      <c r="E1060" s="111" t="s">
        <v>1772</v>
      </c>
      <c r="F1060" s="111"/>
      <c r="G1060" s="110" t="s">
        <v>2073</v>
      </c>
      <c r="H1060" s="141">
        <v>76.330376999999999</v>
      </c>
      <c r="I1060" s="280"/>
      <c r="J1060" s="72">
        <v>148.52000000000001</v>
      </c>
      <c r="K1060" s="271">
        <f t="shared" si="51"/>
        <v>11336.587592040001</v>
      </c>
      <c r="L1060" s="111"/>
      <c r="M1060" s="73"/>
      <c r="N1060" s="112"/>
      <c r="O1060" s="111"/>
      <c r="P1060" s="312">
        <v>0</v>
      </c>
      <c r="Q1060" s="288">
        <f t="shared" si="52"/>
        <v>0</v>
      </c>
      <c r="R1060" s="118">
        <v>0</v>
      </c>
      <c r="S1060" s="283">
        <v>2016</v>
      </c>
      <c r="T1060" s="288">
        <f t="shared" si="50"/>
        <v>12284</v>
      </c>
    </row>
    <row r="1061" spans="2:20">
      <c r="B1061" s="386" t="s">
        <v>1166</v>
      </c>
      <c r="C1061" s="114"/>
      <c r="D1061" s="111" t="s">
        <v>1547</v>
      </c>
      <c r="E1061" s="111" t="s">
        <v>1905</v>
      </c>
      <c r="F1061" s="111"/>
      <c r="G1061" s="110" t="s">
        <v>2073</v>
      </c>
      <c r="H1061" s="141">
        <v>1011.230223</v>
      </c>
      <c r="I1061" s="280"/>
      <c r="J1061" s="72">
        <v>148.52000000000001</v>
      </c>
      <c r="K1061" s="271">
        <f t="shared" si="51"/>
        <v>150187.91271996</v>
      </c>
      <c r="L1061" s="111"/>
      <c r="M1061" s="73"/>
      <c r="N1061" s="112"/>
      <c r="O1061" s="111"/>
      <c r="P1061" s="312">
        <v>0</v>
      </c>
      <c r="Q1061" s="288">
        <f t="shared" si="52"/>
        <v>0</v>
      </c>
      <c r="R1061" s="118">
        <v>0</v>
      </c>
      <c r="S1061" s="283">
        <v>2016</v>
      </c>
      <c r="T1061" s="288">
        <f t="shared" si="50"/>
        <v>162742</v>
      </c>
    </row>
    <row r="1062" spans="2:20">
      <c r="B1062" s="386" t="s">
        <v>1167</v>
      </c>
      <c r="C1062" s="114"/>
      <c r="D1062" s="111" t="s">
        <v>1547</v>
      </c>
      <c r="E1062" s="111" t="s">
        <v>1905</v>
      </c>
      <c r="F1062" s="111"/>
      <c r="G1062" s="110" t="s">
        <v>2073</v>
      </c>
      <c r="H1062" s="141">
        <v>19.329383</v>
      </c>
      <c r="I1062" s="280"/>
      <c r="J1062" s="72">
        <v>148.52000000000001</v>
      </c>
      <c r="K1062" s="271">
        <f t="shared" si="51"/>
        <v>2870.7999631600001</v>
      </c>
      <c r="L1062" s="111"/>
      <c r="M1062" s="73"/>
      <c r="N1062" s="112"/>
      <c r="O1062" s="111"/>
      <c r="P1062" s="312">
        <v>0</v>
      </c>
      <c r="Q1062" s="288">
        <f t="shared" si="52"/>
        <v>0</v>
      </c>
      <c r="R1062" s="118">
        <v>0</v>
      </c>
      <c r="S1062" s="283">
        <v>2016</v>
      </c>
      <c r="T1062" s="288">
        <f t="shared" si="50"/>
        <v>3111</v>
      </c>
    </row>
    <row r="1063" spans="2:20">
      <c r="B1063" s="386" t="s">
        <v>1168</v>
      </c>
      <c r="C1063" s="114"/>
      <c r="D1063" s="111" t="s">
        <v>1547</v>
      </c>
      <c r="E1063" s="111" t="s">
        <v>1906</v>
      </c>
      <c r="F1063" s="111"/>
      <c r="G1063" s="110" t="s">
        <v>2073</v>
      </c>
      <c r="H1063" s="141">
        <v>736.18646699999999</v>
      </c>
      <c r="I1063" s="280"/>
      <c r="J1063" s="72">
        <v>148.52000000000001</v>
      </c>
      <c r="K1063" s="271">
        <f t="shared" si="51"/>
        <v>109338.41407884001</v>
      </c>
      <c r="L1063" s="111"/>
      <c r="M1063" s="73"/>
      <c r="N1063" s="112"/>
      <c r="O1063" s="111"/>
      <c r="P1063" s="312">
        <v>0</v>
      </c>
      <c r="Q1063" s="288">
        <f t="shared" si="52"/>
        <v>0</v>
      </c>
      <c r="R1063" s="118">
        <v>0</v>
      </c>
      <c r="S1063" s="283">
        <v>2016</v>
      </c>
      <c r="T1063" s="288">
        <f t="shared" si="50"/>
        <v>118478</v>
      </c>
    </row>
    <row r="1064" spans="2:20">
      <c r="B1064" s="386" t="s">
        <v>1169</v>
      </c>
      <c r="C1064" s="114"/>
      <c r="D1064" s="111" t="s">
        <v>1547</v>
      </c>
      <c r="E1064" s="111" t="s">
        <v>1907</v>
      </c>
      <c r="F1064" s="111"/>
      <c r="G1064" s="110" t="s">
        <v>2073</v>
      </c>
      <c r="H1064" s="141">
        <v>202.14481000000001</v>
      </c>
      <c r="I1064" s="280"/>
      <c r="J1064" s="72">
        <v>148.52000000000001</v>
      </c>
      <c r="K1064" s="271">
        <f t="shared" si="51"/>
        <v>30022.547181200003</v>
      </c>
      <c r="L1064" s="111"/>
      <c r="M1064" s="73"/>
      <c r="N1064" s="112"/>
      <c r="O1064" s="111"/>
      <c r="P1064" s="312">
        <v>0</v>
      </c>
      <c r="Q1064" s="288">
        <f t="shared" si="52"/>
        <v>0</v>
      </c>
      <c r="R1064" s="118">
        <v>0</v>
      </c>
      <c r="S1064" s="283">
        <v>2016</v>
      </c>
      <c r="T1064" s="288">
        <f t="shared" si="50"/>
        <v>32532</v>
      </c>
    </row>
    <row r="1065" spans="2:20">
      <c r="B1065" s="386" t="s">
        <v>1170</v>
      </c>
      <c r="C1065" s="114"/>
      <c r="D1065" s="111" t="s">
        <v>1546</v>
      </c>
      <c r="E1065" s="111" t="s">
        <v>1784</v>
      </c>
      <c r="F1065" s="111"/>
      <c r="G1065" s="110" t="s">
        <v>2073</v>
      </c>
      <c r="H1065" s="141">
        <v>1747.219047</v>
      </c>
      <c r="I1065" s="280"/>
      <c r="J1065" s="72">
        <v>148.52000000000001</v>
      </c>
      <c r="K1065" s="271">
        <f t="shared" si="51"/>
        <v>259496.97286044003</v>
      </c>
      <c r="L1065" s="111"/>
      <c r="M1065" s="73"/>
      <c r="N1065" s="112"/>
      <c r="O1065" s="111"/>
      <c r="P1065" s="312">
        <v>5.4301535100000002</v>
      </c>
      <c r="Q1065" s="288">
        <f t="shared" si="52"/>
        <v>666.000000430927</v>
      </c>
      <c r="R1065" s="118">
        <v>3616.4822399999998</v>
      </c>
      <c r="S1065" s="283">
        <v>2016</v>
      </c>
      <c r="T1065" s="288">
        <f t="shared" si="50"/>
        <v>285113</v>
      </c>
    </row>
    <row r="1066" spans="2:20">
      <c r="B1066" s="386" t="s">
        <v>1171</v>
      </c>
      <c r="C1066" s="114"/>
      <c r="D1066" s="111" t="s">
        <v>1546</v>
      </c>
      <c r="E1066" s="111" t="s">
        <v>1908</v>
      </c>
      <c r="F1066" s="111"/>
      <c r="G1066" s="110" t="s">
        <v>2073</v>
      </c>
      <c r="H1066" s="141">
        <v>583.05706499999997</v>
      </c>
      <c r="I1066" s="280"/>
      <c r="J1066" s="72">
        <v>148.52000000000001</v>
      </c>
      <c r="K1066" s="271">
        <f t="shared" si="51"/>
        <v>86595.635293800005</v>
      </c>
      <c r="L1066" s="111"/>
      <c r="M1066" s="73"/>
      <c r="N1066" s="112"/>
      <c r="O1066" s="111"/>
      <c r="P1066" s="312">
        <v>0</v>
      </c>
      <c r="Q1066" s="288">
        <f t="shared" si="52"/>
        <v>0</v>
      </c>
      <c r="R1066" s="118">
        <v>0</v>
      </c>
      <c r="S1066" s="283">
        <v>2016</v>
      </c>
      <c r="T1066" s="288">
        <f t="shared" si="50"/>
        <v>93834</v>
      </c>
    </row>
    <row r="1067" spans="2:20">
      <c r="B1067" s="386" t="s">
        <v>1172</v>
      </c>
      <c r="C1067" s="114"/>
      <c r="D1067" s="111" t="s">
        <v>1547</v>
      </c>
      <c r="E1067" s="111" t="s">
        <v>1909</v>
      </c>
      <c r="F1067" s="111"/>
      <c r="G1067" s="110" t="s">
        <v>2073</v>
      </c>
      <c r="H1067" s="141">
        <v>44.666156000000001</v>
      </c>
      <c r="I1067" s="280"/>
      <c r="J1067" s="72">
        <v>148.52000000000001</v>
      </c>
      <c r="K1067" s="271">
        <f t="shared" si="51"/>
        <v>6633.8174891200006</v>
      </c>
      <c r="L1067" s="111"/>
      <c r="M1067" s="73"/>
      <c r="N1067" s="112"/>
      <c r="O1067" s="111"/>
      <c r="P1067" s="312">
        <v>0</v>
      </c>
      <c r="Q1067" s="288">
        <f t="shared" si="52"/>
        <v>0</v>
      </c>
      <c r="R1067" s="118">
        <v>0</v>
      </c>
      <c r="S1067" s="283">
        <v>2016</v>
      </c>
      <c r="T1067" s="288">
        <f t="shared" si="50"/>
        <v>7188</v>
      </c>
    </row>
    <row r="1068" spans="2:20">
      <c r="B1068" s="386" t="s">
        <v>1173</v>
      </c>
      <c r="C1068" s="114"/>
      <c r="D1068" s="111" t="s">
        <v>1546</v>
      </c>
      <c r="E1068" s="111" t="s">
        <v>1910</v>
      </c>
      <c r="F1068" s="111"/>
      <c r="G1068" s="110" t="s">
        <v>2073</v>
      </c>
      <c r="H1068" s="141">
        <v>574.13660800000002</v>
      </c>
      <c r="I1068" s="280"/>
      <c r="J1068" s="72">
        <v>148.52000000000001</v>
      </c>
      <c r="K1068" s="271">
        <f t="shared" si="51"/>
        <v>85270.769020160005</v>
      </c>
      <c r="L1068" s="111"/>
      <c r="M1068" s="73"/>
      <c r="N1068" s="112"/>
      <c r="O1068" s="111"/>
      <c r="P1068" s="312">
        <v>0</v>
      </c>
      <c r="Q1068" s="288">
        <f t="shared" si="52"/>
        <v>0</v>
      </c>
      <c r="R1068" s="118">
        <v>0</v>
      </c>
      <c r="S1068" s="283">
        <v>2016</v>
      </c>
      <c r="T1068" s="288">
        <f t="shared" si="50"/>
        <v>92399</v>
      </c>
    </row>
    <row r="1069" spans="2:20">
      <c r="B1069" s="386" t="s">
        <v>1174</v>
      </c>
      <c r="C1069" s="114"/>
      <c r="D1069" s="111" t="s">
        <v>1546</v>
      </c>
      <c r="E1069" s="111" t="s">
        <v>1911</v>
      </c>
      <c r="F1069" s="111"/>
      <c r="G1069" s="110" t="s">
        <v>2073</v>
      </c>
      <c r="H1069" s="141">
        <v>913.54908399999999</v>
      </c>
      <c r="I1069" s="280"/>
      <c r="J1069" s="72">
        <v>148.52000000000001</v>
      </c>
      <c r="K1069" s="271">
        <f t="shared" si="51"/>
        <v>135680.30995568002</v>
      </c>
      <c r="L1069" s="111"/>
      <c r="M1069" s="73"/>
      <c r="N1069" s="112"/>
      <c r="O1069" s="111"/>
      <c r="P1069" s="312">
        <v>0</v>
      </c>
      <c r="Q1069" s="288">
        <f t="shared" si="52"/>
        <v>0</v>
      </c>
      <c r="R1069" s="118">
        <v>0</v>
      </c>
      <c r="S1069" s="283">
        <v>2016</v>
      </c>
      <c r="T1069" s="288">
        <f t="shared" si="50"/>
        <v>147022</v>
      </c>
    </row>
    <row r="1070" spans="2:20">
      <c r="B1070" s="386" t="s">
        <v>1175</v>
      </c>
      <c r="C1070" s="114"/>
      <c r="D1070" s="111" t="s">
        <v>1546</v>
      </c>
      <c r="E1070" s="111" t="s">
        <v>1912</v>
      </c>
      <c r="F1070" s="111"/>
      <c r="G1070" s="110" t="s">
        <v>2073</v>
      </c>
      <c r="H1070" s="141">
        <v>642.39641700000004</v>
      </c>
      <c r="I1070" s="280"/>
      <c r="J1070" s="72">
        <v>148.52000000000001</v>
      </c>
      <c r="K1070" s="271">
        <f t="shared" si="51"/>
        <v>95408.715852840018</v>
      </c>
      <c r="L1070" s="111"/>
      <c r="M1070" s="73"/>
      <c r="N1070" s="112"/>
      <c r="O1070" s="111"/>
      <c r="P1070" s="312">
        <v>0</v>
      </c>
      <c r="Q1070" s="288">
        <f t="shared" si="52"/>
        <v>0</v>
      </c>
      <c r="R1070" s="118">
        <v>0</v>
      </c>
      <c r="S1070" s="283">
        <v>2016</v>
      </c>
      <c r="T1070" s="288">
        <f t="shared" si="50"/>
        <v>103384</v>
      </c>
    </row>
    <row r="1071" spans="2:20">
      <c r="B1071" s="386" t="s">
        <v>1176</v>
      </c>
      <c r="C1071" s="114"/>
      <c r="D1071" s="111" t="s">
        <v>1547</v>
      </c>
      <c r="E1071" s="111" t="s">
        <v>1913</v>
      </c>
      <c r="F1071" s="111"/>
      <c r="G1071" s="110" t="s">
        <v>2073</v>
      </c>
      <c r="H1071" s="141">
        <v>517.58761200000004</v>
      </c>
      <c r="I1071" s="280"/>
      <c r="J1071" s="72">
        <v>148.52000000000001</v>
      </c>
      <c r="K1071" s="271">
        <f t="shared" si="51"/>
        <v>76872.112134240015</v>
      </c>
      <c r="L1071" s="111"/>
      <c r="M1071" s="73"/>
      <c r="N1071" s="112"/>
      <c r="O1071" s="111"/>
      <c r="P1071" s="312">
        <v>0</v>
      </c>
      <c r="Q1071" s="288">
        <f t="shared" si="52"/>
        <v>0</v>
      </c>
      <c r="R1071" s="118">
        <v>0</v>
      </c>
      <c r="S1071" s="283">
        <v>2016</v>
      </c>
      <c r="T1071" s="288">
        <f t="shared" si="50"/>
        <v>83298</v>
      </c>
    </row>
    <row r="1072" spans="2:20">
      <c r="B1072" s="386" t="s">
        <v>1177</v>
      </c>
      <c r="C1072" s="114"/>
      <c r="D1072" s="111" t="s">
        <v>1546</v>
      </c>
      <c r="E1072" s="111" t="s">
        <v>1750</v>
      </c>
      <c r="F1072" s="111"/>
      <c r="G1072" s="110" t="s">
        <v>2073</v>
      </c>
      <c r="H1072" s="141">
        <v>1454.521076</v>
      </c>
      <c r="I1072" s="280"/>
      <c r="J1072" s="72">
        <v>148.52000000000001</v>
      </c>
      <c r="K1072" s="271">
        <f t="shared" si="51"/>
        <v>216025.47020752</v>
      </c>
      <c r="L1072" s="111"/>
      <c r="M1072" s="73"/>
      <c r="N1072" s="112"/>
      <c r="O1072" s="111"/>
      <c r="P1072" s="312">
        <v>0</v>
      </c>
      <c r="Q1072" s="288">
        <f t="shared" si="52"/>
        <v>0</v>
      </c>
      <c r="R1072" s="118">
        <v>0</v>
      </c>
      <c r="S1072" s="283">
        <v>2016</v>
      </c>
      <c r="T1072" s="288">
        <f t="shared" si="50"/>
        <v>234083</v>
      </c>
    </row>
    <row r="1073" spans="2:20">
      <c r="B1073" s="386" t="s">
        <v>1178</v>
      </c>
      <c r="C1073" s="114"/>
      <c r="D1073" s="111" t="s">
        <v>1546</v>
      </c>
      <c r="E1073" s="111" t="s">
        <v>1750</v>
      </c>
      <c r="F1073" s="111"/>
      <c r="G1073" s="110" t="s">
        <v>2073</v>
      </c>
      <c r="H1073" s="141">
        <v>98.741192999999996</v>
      </c>
      <c r="I1073" s="280"/>
      <c r="J1073" s="72">
        <v>148.52000000000001</v>
      </c>
      <c r="K1073" s="271">
        <f t="shared" si="51"/>
        <v>14665.041984360001</v>
      </c>
      <c r="L1073" s="111"/>
      <c r="M1073" s="73"/>
      <c r="N1073" s="112"/>
      <c r="O1073" s="111"/>
      <c r="P1073" s="312">
        <v>0</v>
      </c>
      <c r="Q1073" s="288">
        <f t="shared" si="52"/>
        <v>0</v>
      </c>
      <c r="R1073" s="118">
        <v>0</v>
      </c>
      <c r="S1073" s="283">
        <v>2016</v>
      </c>
      <c r="T1073" s="288">
        <f t="shared" si="50"/>
        <v>15891</v>
      </c>
    </row>
    <row r="1074" spans="2:20">
      <c r="B1074" s="386" t="s">
        <v>1179</v>
      </c>
      <c r="C1074" s="114"/>
      <c r="D1074" s="111" t="s">
        <v>1546</v>
      </c>
      <c r="E1074" s="111" t="s">
        <v>1914</v>
      </c>
      <c r="F1074" s="111"/>
      <c r="G1074" s="110" t="s">
        <v>2073</v>
      </c>
      <c r="H1074" s="141">
        <v>353.66756700000002</v>
      </c>
      <c r="I1074" s="280"/>
      <c r="J1074" s="72">
        <v>148.52000000000001</v>
      </c>
      <c r="K1074" s="271">
        <f t="shared" si="51"/>
        <v>52526.707050840007</v>
      </c>
      <c r="L1074" s="111"/>
      <c r="M1074" s="73"/>
      <c r="N1074" s="112"/>
      <c r="O1074" s="111"/>
      <c r="P1074" s="312">
        <v>0</v>
      </c>
      <c r="Q1074" s="288">
        <f t="shared" si="52"/>
        <v>0</v>
      </c>
      <c r="R1074" s="118">
        <v>0</v>
      </c>
      <c r="S1074" s="283">
        <v>2016</v>
      </c>
      <c r="T1074" s="288">
        <f t="shared" si="50"/>
        <v>56917</v>
      </c>
    </row>
    <row r="1075" spans="2:20">
      <c r="B1075" s="386" t="s">
        <v>1180</v>
      </c>
      <c r="C1075" s="114"/>
      <c r="D1075" s="111" t="s">
        <v>1547</v>
      </c>
      <c r="E1075" s="111" t="s">
        <v>1914</v>
      </c>
      <c r="F1075" s="111"/>
      <c r="G1075" s="110" t="s">
        <v>2073</v>
      </c>
      <c r="H1075" s="141">
        <v>8.7272259999999999</v>
      </c>
      <c r="I1075" s="280"/>
      <c r="J1075" s="72">
        <v>148.52000000000001</v>
      </c>
      <c r="K1075" s="271">
        <f t="shared" si="51"/>
        <v>1296.1676055200001</v>
      </c>
      <c r="L1075" s="111"/>
      <c r="M1075" s="73"/>
      <c r="N1075" s="112"/>
      <c r="O1075" s="111"/>
      <c r="P1075" s="312">
        <v>0</v>
      </c>
      <c r="Q1075" s="288">
        <f t="shared" si="52"/>
        <v>0</v>
      </c>
      <c r="R1075" s="118">
        <v>0</v>
      </c>
      <c r="S1075" s="283">
        <v>2016</v>
      </c>
      <c r="T1075" s="288">
        <f t="shared" si="50"/>
        <v>1405</v>
      </c>
    </row>
    <row r="1076" spans="2:20">
      <c r="B1076" s="386" t="s">
        <v>1181</v>
      </c>
      <c r="C1076" s="114"/>
      <c r="D1076" s="111" t="s">
        <v>1547</v>
      </c>
      <c r="E1076" s="111" t="s">
        <v>1914</v>
      </c>
      <c r="F1076" s="111"/>
      <c r="G1076" s="110" t="s">
        <v>2073</v>
      </c>
      <c r="H1076" s="141">
        <v>10.753878</v>
      </c>
      <c r="I1076" s="280"/>
      <c r="J1076" s="72">
        <v>148.52000000000001</v>
      </c>
      <c r="K1076" s="271">
        <f t="shared" si="51"/>
        <v>1597.1659605600003</v>
      </c>
      <c r="L1076" s="111"/>
      <c r="M1076" s="73"/>
      <c r="N1076" s="112"/>
      <c r="O1076" s="111"/>
      <c r="P1076" s="312">
        <v>0</v>
      </c>
      <c r="Q1076" s="288">
        <f t="shared" si="52"/>
        <v>0</v>
      </c>
      <c r="R1076" s="118">
        <v>0</v>
      </c>
      <c r="S1076" s="283">
        <v>2016</v>
      </c>
      <c r="T1076" s="288">
        <f t="shared" si="50"/>
        <v>1731</v>
      </c>
    </row>
    <row r="1077" spans="2:20">
      <c r="B1077" s="386" t="s">
        <v>1182</v>
      </c>
      <c r="C1077" s="114"/>
      <c r="D1077" s="111" t="s">
        <v>1546</v>
      </c>
      <c r="E1077" s="111" t="s">
        <v>1915</v>
      </c>
      <c r="F1077" s="111"/>
      <c r="G1077" s="110" t="s">
        <v>2073</v>
      </c>
      <c r="H1077" s="141">
        <v>211.07311000000001</v>
      </c>
      <c r="I1077" s="280"/>
      <c r="J1077" s="72">
        <v>148.52000000000001</v>
      </c>
      <c r="K1077" s="271">
        <f t="shared" si="51"/>
        <v>31348.578297200005</v>
      </c>
      <c r="L1077" s="111"/>
      <c r="M1077" s="73"/>
      <c r="N1077" s="112"/>
      <c r="O1077" s="111"/>
      <c r="P1077" s="312">
        <v>0</v>
      </c>
      <c r="Q1077" s="288">
        <f t="shared" si="52"/>
        <v>0</v>
      </c>
      <c r="R1077" s="118">
        <v>0</v>
      </c>
      <c r="S1077" s="283">
        <v>2016</v>
      </c>
      <c r="T1077" s="288">
        <f t="shared" si="50"/>
        <v>33969</v>
      </c>
    </row>
    <row r="1078" spans="2:20">
      <c r="B1078" s="386" t="s">
        <v>1183</v>
      </c>
      <c r="C1078" s="114"/>
      <c r="D1078" s="111" t="s">
        <v>1546</v>
      </c>
      <c r="E1078" s="111" t="s">
        <v>1915</v>
      </c>
      <c r="F1078" s="111"/>
      <c r="G1078" s="110" t="s">
        <v>2073</v>
      </c>
      <c r="H1078" s="141">
        <v>176.97988699999999</v>
      </c>
      <c r="I1078" s="280"/>
      <c r="J1078" s="72">
        <v>148.52000000000001</v>
      </c>
      <c r="K1078" s="271">
        <f t="shared" si="51"/>
        <v>26285.052817240001</v>
      </c>
      <c r="L1078" s="111"/>
      <c r="M1078" s="73"/>
      <c r="N1078" s="112"/>
      <c r="O1078" s="111"/>
      <c r="P1078" s="312">
        <v>0</v>
      </c>
      <c r="Q1078" s="288">
        <f t="shared" si="52"/>
        <v>0</v>
      </c>
      <c r="R1078" s="118">
        <v>0</v>
      </c>
      <c r="S1078" s="283">
        <v>2016</v>
      </c>
      <c r="T1078" s="288">
        <f t="shared" si="50"/>
        <v>28482</v>
      </c>
    </row>
    <row r="1079" spans="2:20">
      <c r="B1079" s="386" t="s">
        <v>1184</v>
      </c>
      <c r="C1079" s="114"/>
      <c r="D1079" s="111" t="s">
        <v>1546</v>
      </c>
      <c r="E1079" s="111" t="s">
        <v>1915</v>
      </c>
      <c r="F1079" s="111"/>
      <c r="G1079" s="110" t="s">
        <v>2073</v>
      </c>
      <c r="H1079" s="141">
        <v>603.12152300000002</v>
      </c>
      <c r="I1079" s="280"/>
      <c r="J1079" s="72">
        <v>148.52000000000001</v>
      </c>
      <c r="K1079" s="271">
        <f t="shared" si="51"/>
        <v>89575.608595960017</v>
      </c>
      <c r="L1079" s="111"/>
      <c r="M1079" s="73"/>
      <c r="N1079" s="112"/>
      <c r="O1079" s="111"/>
      <c r="P1079" s="312">
        <v>0</v>
      </c>
      <c r="Q1079" s="288">
        <f t="shared" si="52"/>
        <v>0</v>
      </c>
      <c r="R1079" s="118">
        <v>0</v>
      </c>
      <c r="S1079" s="283">
        <v>2016</v>
      </c>
      <c r="T1079" s="288">
        <f t="shared" si="50"/>
        <v>97063</v>
      </c>
    </row>
    <row r="1080" spans="2:20">
      <c r="B1080" s="386" t="s">
        <v>1185</v>
      </c>
      <c r="C1080" s="114"/>
      <c r="D1080" s="111" t="s">
        <v>1546</v>
      </c>
      <c r="E1080" s="111" t="s">
        <v>1916</v>
      </c>
      <c r="F1080" s="111"/>
      <c r="G1080" s="110" t="s">
        <v>2073</v>
      </c>
      <c r="H1080" s="141">
        <v>210.22286099999999</v>
      </c>
      <c r="I1080" s="280"/>
      <c r="J1080" s="72">
        <v>148.52000000000001</v>
      </c>
      <c r="K1080" s="271">
        <f t="shared" si="51"/>
        <v>31222.29931572</v>
      </c>
      <c r="L1080" s="111"/>
      <c r="M1080" s="73"/>
      <c r="N1080" s="112"/>
      <c r="O1080" s="111"/>
      <c r="P1080" s="312">
        <v>0</v>
      </c>
      <c r="Q1080" s="288">
        <f t="shared" si="52"/>
        <v>0</v>
      </c>
      <c r="R1080" s="118">
        <v>0</v>
      </c>
      <c r="S1080" s="283">
        <v>2016</v>
      </c>
      <c r="T1080" s="288">
        <f t="shared" si="50"/>
        <v>33832</v>
      </c>
    </row>
    <row r="1081" spans="2:20">
      <c r="B1081" s="386" t="s">
        <v>1186</v>
      </c>
      <c r="C1081" s="114"/>
      <c r="D1081" s="111" t="s">
        <v>1546</v>
      </c>
      <c r="E1081" s="111" t="s">
        <v>1797</v>
      </c>
      <c r="F1081" s="111"/>
      <c r="G1081" s="110" t="s">
        <v>2073</v>
      </c>
      <c r="H1081" s="141">
        <v>428.96490699999998</v>
      </c>
      <c r="I1081" s="280"/>
      <c r="J1081" s="72">
        <v>148.52000000000001</v>
      </c>
      <c r="K1081" s="271">
        <f t="shared" si="51"/>
        <v>63709.867987639998</v>
      </c>
      <c r="L1081" s="111"/>
      <c r="M1081" s="73"/>
      <c r="N1081" s="112"/>
      <c r="O1081" s="111"/>
      <c r="P1081" s="312">
        <v>0</v>
      </c>
      <c r="Q1081" s="288">
        <f t="shared" si="52"/>
        <v>0</v>
      </c>
      <c r="R1081" s="118">
        <v>0</v>
      </c>
      <c r="S1081" s="283">
        <v>2016</v>
      </c>
      <c r="T1081" s="288">
        <f t="shared" si="50"/>
        <v>69035</v>
      </c>
    </row>
    <row r="1082" spans="2:20">
      <c r="B1082" s="386" t="s">
        <v>1187</v>
      </c>
      <c r="C1082" s="114"/>
      <c r="D1082" s="111" t="s">
        <v>1546</v>
      </c>
      <c r="E1082" s="111" t="s">
        <v>1917</v>
      </c>
      <c r="F1082" s="111"/>
      <c r="G1082" s="110" t="s">
        <v>2073</v>
      </c>
      <c r="H1082" s="141">
        <v>57.036757999999999</v>
      </c>
      <c r="I1082" s="280"/>
      <c r="J1082" s="72">
        <v>148.52000000000001</v>
      </c>
      <c r="K1082" s="271">
        <f t="shared" si="51"/>
        <v>8471.0992981600011</v>
      </c>
      <c r="L1082" s="111"/>
      <c r="M1082" s="73"/>
      <c r="N1082" s="112"/>
      <c r="O1082" s="111"/>
      <c r="P1082" s="312">
        <v>0</v>
      </c>
      <c r="Q1082" s="288">
        <f t="shared" si="52"/>
        <v>0</v>
      </c>
      <c r="R1082" s="118">
        <v>0</v>
      </c>
      <c r="S1082" s="283">
        <v>2016</v>
      </c>
      <c r="T1082" s="288">
        <f t="shared" si="50"/>
        <v>9179</v>
      </c>
    </row>
    <row r="1083" spans="2:20">
      <c r="B1083" s="386" t="s">
        <v>1188</v>
      </c>
      <c r="C1083" s="114"/>
      <c r="D1083" s="111" t="s">
        <v>1546</v>
      </c>
      <c r="E1083" s="111" t="s">
        <v>1917</v>
      </c>
      <c r="F1083" s="111"/>
      <c r="G1083" s="110" t="s">
        <v>2073</v>
      </c>
      <c r="H1083" s="141">
        <v>196.62109899999999</v>
      </c>
      <c r="I1083" s="280"/>
      <c r="J1083" s="72">
        <v>148.52000000000001</v>
      </c>
      <c r="K1083" s="271">
        <f t="shared" si="51"/>
        <v>29202.165623479999</v>
      </c>
      <c r="L1083" s="111"/>
      <c r="M1083" s="73"/>
      <c r="N1083" s="112"/>
      <c r="O1083" s="111"/>
      <c r="P1083" s="312">
        <v>0</v>
      </c>
      <c r="Q1083" s="288">
        <f t="shared" si="52"/>
        <v>0</v>
      </c>
      <c r="R1083" s="118">
        <v>0</v>
      </c>
      <c r="S1083" s="283">
        <v>2016</v>
      </c>
      <c r="T1083" s="288">
        <f t="shared" si="50"/>
        <v>31643</v>
      </c>
    </row>
    <row r="1084" spans="2:20">
      <c r="B1084" s="386" t="s">
        <v>1189</v>
      </c>
      <c r="C1084" s="114"/>
      <c r="D1084" s="111" t="s">
        <v>1546</v>
      </c>
      <c r="E1084" s="111" t="s">
        <v>1918</v>
      </c>
      <c r="F1084" s="111"/>
      <c r="G1084" s="110" t="s">
        <v>2073</v>
      </c>
      <c r="H1084" s="141">
        <v>195.40757199999999</v>
      </c>
      <c r="I1084" s="280"/>
      <c r="J1084" s="72">
        <v>148.52000000000001</v>
      </c>
      <c r="K1084" s="271">
        <f t="shared" si="51"/>
        <v>29021.93259344</v>
      </c>
      <c r="L1084" s="111"/>
      <c r="M1084" s="73"/>
      <c r="N1084" s="112"/>
      <c r="O1084" s="111"/>
      <c r="P1084" s="312">
        <v>0</v>
      </c>
      <c r="Q1084" s="288">
        <f t="shared" si="52"/>
        <v>0</v>
      </c>
      <c r="R1084" s="118">
        <v>0</v>
      </c>
      <c r="S1084" s="283">
        <v>2016</v>
      </c>
      <c r="T1084" s="288">
        <f t="shared" si="50"/>
        <v>31448</v>
      </c>
    </row>
    <row r="1085" spans="2:20">
      <c r="B1085" s="386" t="s">
        <v>1190</v>
      </c>
      <c r="C1085" s="114"/>
      <c r="D1085" s="111" t="s">
        <v>1546</v>
      </c>
      <c r="E1085" s="111" t="s">
        <v>1919</v>
      </c>
      <c r="F1085" s="111"/>
      <c r="G1085" s="110" t="s">
        <v>2073</v>
      </c>
      <c r="H1085" s="141">
        <v>448.86026199999998</v>
      </c>
      <c r="I1085" s="280"/>
      <c r="J1085" s="72">
        <v>148.52000000000001</v>
      </c>
      <c r="K1085" s="271">
        <f t="shared" si="51"/>
        <v>66664.726112239994</v>
      </c>
      <c r="L1085" s="111"/>
      <c r="M1085" s="73"/>
      <c r="N1085" s="112"/>
      <c r="O1085" s="111"/>
      <c r="P1085" s="312">
        <v>0</v>
      </c>
      <c r="Q1085" s="288">
        <f t="shared" si="52"/>
        <v>0</v>
      </c>
      <c r="R1085" s="118">
        <v>0</v>
      </c>
      <c r="S1085" s="283">
        <v>2016</v>
      </c>
      <c r="T1085" s="288">
        <f t="shared" si="50"/>
        <v>72237</v>
      </c>
    </row>
    <row r="1086" spans="2:20">
      <c r="B1086" s="386" t="s">
        <v>1191</v>
      </c>
      <c r="C1086" s="114"/>
      <c r="D1086" s="111" t="s">
        <v>1546</v>
      </c>
      <c r="E1086" s="111" t="s">
        <v>1920</v>
      </c>
      <c r="F1086" s="111"/>
      <c r="G1086" s="110" t="s">
        <v>2073</v>
      </c>
      <c r="H1086" s="141">
        <v>1349.8360150000001</v>
      </c>
      <c r="I1086" s="280"/>
      <c r="J1086" s="72">
        <v>148.52000000000001</v>
      </c>
      <c r="K1086" s="271">
        <f t="shared" si="51"/>
        <v>200477.64494780003</v>
      </c>
      <c r="L1086" s="111"/>
      <c r="M1086" s="73"/>
      <c r="N1086" s="112"/>
      <c r="O1086" s="111"/>
      <c r="P1086" s="312">
        <v>0</v>
      </c>
      <c r="Q1086" s="288">
        <f t="shared" si="52"/>
        <v>0</v>
      </c>
      <c r="R1086" s="118">
        <v>0</v>
      </c>
      <c r="S1086" s="283">
        <v>2016</v>
      </c>
      <c r="T1086" s="288">
        <f t="shared" si="50"/>
        <v>217236</v>
      </c>
    </row>
    <row r="1087" spans="2:20">
      <c r="B1087" s="386" t="s">
        <v>1192</v>
      </c>
      <c r="C1087" s="114"/>
      <c r="D1087" s="111" t="s">
        <v>1547</v>
      </c>
      <c r="E1087" s="111" t="s">
        <v>1921</v>
      </c>
      <c r="F1087" s="111"/>
      <c r="G1087" s="110" t="s">
        <v>2073</v>
      </c>
      <c r="H1087" s="141">
        <v>312.365791</v>
      </c>
      <c r="I1087" s="280"/>
      <c r="J1087" s="72">
        <v>148.52000000000001</v>
      </c>
      <c r="K1087" s="271">
        <f t="shared" si="51"/>
        <v>46392.567279320006</v>
      </c>
      <c r="L1087" s="111"/>
      <c r="M1087" s="73"/>
      <c r="N1087" s="112"/>
      <c r="O1087" s="111"/>
      <c r="P1087" s="312">
        <v>0</v>
      </c>
      <c r="Q1087" s="288">
        <f t="shared" si="52"/>
        <v>0</v>
      </c>
      <c r="R1087" s="118">
        <v>0</v>
      </c>
      <c r="S1087" s="283">
        <v>2016</v>
      </c>
      <c r="T1087" s="288">
        <f t="shared" si="50"/>
        <v>50271</v>
      </c>
    </row>
    <row r="1088" spans="2:20">
      <c r="B1088" s="386" t="s">
        <v>1193</v>
      </c>
      <c r="C1088" s="114"/>
      <c r="D1088" s="111" t="s">
        <v>1547</v>
      </c>
      <c r="E1088" s="111" t="s">
        <v>1922</v>
      </c>
      <c r="F1088" s="111"/>
      <c r="G1088" s="110" t="s">
        <v>2073</v>
      </c>
      <c r="H1088" s="141">
        <v>391.43987700000002</v>
      </c>
      <c r="I1088" s="280"/>
      <c r="J1088" s="72">
        <v>148.52000000000001</v>
      </c>
      <c r="K1088" s="271">
        <f t="shared" si="51"/>
        <v>58136.65053204001</v>
      </c>
      <c r="L1088" s="111"/>
      <c r="M1088" s="73"/>
      <c r="N1088" s="112"/>
      <c r="O1088" s="111"/>
      <c r="P1088" s="312">
        <v>0</v>
      </c>
      <c r="Q1088" s="288">
        <f t="shared" si="52"/>
        <v>0</v>
      </c>
      <c r="R1088" s="118">
        <v>0</v>
      </c>
      <c r="S1088" s="283">
        <v>2016</v>
      </c>
      <c r="T1088" s="288">
        <f t="shared" si="50"/>
        <v>62996</v>
      </c>
    </row>
    <row r="1089" spans="2:20">
      <c r="B1089" s="386" t="s">
        <v>1194</v>
      </c>
      <c r="C1089" s="114"/>
      <c r="D1089" s="111" t="s">
        <v>1546</v>
      </c>
      <c r="E1089" s="111" t="s">
        <v>1923</v>
      </c>
      <c r="F1089" s="111"/>
      <c r="G1089" s="110" t="s">
        <v>2073</v>
      </c>
      <c r="H1089" s="141">
        <v>191.18579800000001</v>
      </c>
      <c r="I1089" s="280"/>
      <c r="J1089" s="72">
        <v>148.52000000000001</v>
      </c>
      <c r="K1089" s="271">
        <f t="shared" si="51"/>
        <v>28394.914718960004</v>
      </c>
      <c r="L1089" s="111"/>
      <c r="M1089" s="73"/>
      <c r="N1089" s="112"/>
      <c r="O1089" s="111"/>
      <c r="P1089" s="312">
        <v>0</v>
      </c>
      <c r="Q1089" s="288">
        <f t="shared" si="52"/>
        <v>0</v>
      </c>
      <c r="R1089" s="118">
        <v>0</v>
      </c>
      <c r="S1089" s="283">
        <v>2016</v>
      </c>
      <c r="T1089" s="288">
        <f t="shared" si="50"/>
        <v>30768</v>
      </c>
    </row>
    <row r="1090" spans="2:20">
      <c r="B1090" s="386" t="s">
        <v>1195</v>
      </c>
      <c r="C1090" s="114"/>
      <c r="D1090" s="111" t="s">
        <v>1546</v>
      </c>
      <c r="E1090" s="111" t="s">
        <v>1652</v>
      </c>
      <c r="F1090" s="111"/>
      <c r="G1090" s="110" t="s">
        <v>2073</v>
      </c>
      <c r="H1090" s="141">
        <v>118.340107</v>
      </c>
      <c r="I1090" s="280"/>
      <c r="J1090" s="72">
        <v>148.52000000000001</v>
      </c>
      <c r="K1090" s="271">
        <f t="shared" si="51"/>
        <v>17575.872691640001</v>
      </c>
      <c r="L1090" s="111"/>
      <c r="M1090" s="73"/>
      <c r="N1090" s="112"/>
      <c r="O1090" s="111"/>
      <c r="P1090" s="312">
        <v>0</v>
      </c>
      <c r="Q1090" s="288">
        <f t="shared" si="52"/>
        <v>0</v>
      </c>
      <c r="R1090" s="118">
        <v>0</v>
      </c>
      <c r="S1090" s="283">
        <v>2016</v>
      </c>
      <c r="T1090" s="288">
        <f t="shared" si="50"/>
        <v>19045</v>
      </c>
    </row>
    <row r="1091" spans="2:20">
      <c r="B1091" s="386" t="s">
        <v>1196</v>
      </c>
      <c r="C1091" s="114"/>
      <c r="D1091" s="111" t="s">
        <v>1546</v>
      </c>
      <c r="E1091" s="111" t="s">
        <v>1652</v>
      </c>
      <c r="F1091" s="111"/>
      <c r="G1091" s="110" t="s">
        <v>2073</v>
      </c>
      <c r="H1091" s="141">
        <v>72.088935000000006</v>
      </c>
      <c r="I1091" s="280"/>
      <c r="J1091" s="72">
        <v>148.52000000000001</v>
      </c>
      <c r="K1091" s="271">
        <f t="shared" si="51"/>
        <v>10706.648626200002</v>
      </c>
      <c r="L1091" s="111"/>
      <c r="M1091" s="73"/>
      <c r="N1091" s="112"/>
      <c r="O1091" s="111"/>
      <c r="P1091" s="312">
        <v>0</v>
      </c>
      <c r="Q1091" s="288">
        <f t="shared" si="52"/>
        <v>0</v>
      </c>
      <c r="R1091" s="118">
        <v>0</v>
      </c>
      <c r="S1091" s="283">
        <v>2016</v>
      </c>
      <c r="T1091" s="288">
        <f t="shared" si="50"/>
        <v>11602</v>
      </c>
    </row>
    <row r="1092" spans="2:20">
      <c r="B1092" s="386" t="s">
        <v>1197</v>
      </c>
      <c r="C1092" s="114"/>
      <c r="D1092" s="111" t="s">
        <v>1547</v>
      </c>
      <c r="E1092" s="111" t="s">
        <v>1924</v>
      </c>
      <c r="F1092" s="111"/>
      <c r="G1092" s="110" t="s">
        <v>2073</v>
      </c>
      <c r="H1092" s="141">
        <v>1459.523254</v>
      </c>
      <c r="I1092" s="280"/>
      <c r="J1092" s="72">
        <v>148.52000000000001</v>
      </c>
      <c r="K1092" s="271">
        <f t="shared" si="51"/>
        <v>216768.39368408002</v>
      </c>
      <c r="L1092" s="111"/>
      <c r="M1092" s="73"/>
      <c r="N1092" s="112"/>
      <c r="O1092" s="111"/>
      <c r="P1092" s="312">
        <v>0</v>
      </c>
      <c r="Q1092" s="288">
        <f t="shared" si="52"/>
        <v>0</v>
      </c>
      <c r="R1092" s="118">
        <v>0</v>
      </c>
      <c r="S1092" s="283">
        <v>2016</v>
      </c>
      <c r="T1092" s="288">
        <f t="shared" si="50"/>
        <v>234888</v>
      </c>
    </row>
    <row r="1093" spans="2:20">
      <c r="B1093" s="386" t="s">
        <v>1198</v>
      </c>
      <c r="C1093" s="114"/>
      <c r="D1093" s="111" t="s">
        <v>1547</v>
      </c>
      <c r="E1093" s="111" t="s">
        <v>1924</v>
      </c>
      <c r="F1093" s="111"/>
      <c r="G1093" s="110" t="s">
        <v>2073</v>
      </c>
      <c r="H1093" s="141">
        <v>558.21068600000001</v>
      </c>
      <c r="I1093" s="280"/>
      <c r="J1093" s="72">
        <v>148.52000000000001</v>
      </c>
      <c r="K1093" s="271">
        <f t="shared" si="51"/>
        <v>82905.45108472</v>
      </c>
      <c r="L1093" s="111"/>
      <c r="M1093" s="73"/>
      <c r="N1093" s="112"/>
      <c r="O1093" s="111"/>
      <c r="P1093" s="312">
        <v>0</v>
      </c>
      <c r="Q1093" s="288">
        <f t="shared" si="52"/>
        <v>0</v>
      </c>
      <c r="R1093" s="118">
        <v>0</v>
      </c>
      <c r="S1093" s="283">
        <v>2016</v>
      </c>
      <c r="T1093" s="288">
        <f t="shared" si="50"/>
        <v>89835</v>
      </c>
    </row>
    <row r="1094" spans="2:20">
      <c r="B1094" s="386" t="s">
        <v>1199</v>
      </c>
      <c r="C1094" s="114"/>
      <c r="D1094" s="111" t="s">
        <v>1547</v>
      </c>
      <c r="E1094" s="111" t="s">
        <v>1924</v>
      </c>
      <c r="F1094" s="111"/>
      <c r="G1094" s="110" t="s">
        <v>2073</v>
      </c>
      <c r="H1094" s="141">
        <v>1931.965375</v>
      </c>
      <c r="I1094" s="280"/>
      <c r="J1094" s="72">
        <v>148.52000000000001</v>
      </c>
      <c r="K1094" s="271">
        <f t="shared" si="51"/>
        <v>286935.49749500002</v>
      </c>
      <c r="L1094" s="111"/>
      <c r="M1094" s="73"/>
      <c r="N1094" s="112"/>
      <c r="O1094" s="111"/>
      <c r="P1094" s="312">
        <v>0</v>
      </c>
      <c r="Q1094" s="288">
        <f t="shared" si="52"/>
        <v>0</v>
      </c>
      <c r="R1094" s="118">
        <v>0</v>
      </c>
      <c r="S1094" s="283">
        <v>2016</v>
      </c>
      <c r="T1094" s="288">
        <f t="shared" si="50"/>
        <v>310920</v>
      </c>
    </row>
    <row r="1095" spans="2:20">
      <c r="B1095" s="386" t="s">
        <v>1200</v>
      </c>
      <c r="C1095" s="114"/>
      <c r="D1095" s="111" t="s">
        <v>1547</v>
      </c>
      <c r="E1095" s="111" t="s">
        <v>1924</v>
      </c>
      <c r="F1095" s="111"/>
      <c r="G1095" s="110" t="s">
        <v>2073</v>
      </c>
      <c r="H1095" s="141">
        <v>444.87802799999997</v>
      </c>
      <c r="I1095" s="280"/>
      <c r="J1095" s="72">
        <v>148.52000000000001</v>
      </c>
      <c r="K1095" s="271">
        <f t="shared" si="51"/>
        <v>66073.284718559997</v>
      </c>
      <c r="L1095" s="111"/>
      <c r="M1095" s="73"/>
      <c r="N1095" s="112"/>
      <c r="O1095" s="111"/>
      <c r="P1095" s="312">
        <v>0</v>
      </c>
      <c r="Q1095" s="288">
        <f t="shared" si="52"/>
        <v>0</v>
      </c>
      <c r="R1095" s="118">
        <v>0</v>
      </c>
      <c r="S1095" s="283">
        <v>2016</v>
      </c>
      <c r="T1095" s="288">
        <f t="shared" si="50"/>
        <v>71596</v>
      </c>
    </row>
    <row r="1096" spans="2:20">
      <c r="B1096" s="386" t="s">
        <v>1201</v>
      </c>
      <c r="C1096" s="114"/>
      <c r="D1096" s="111" t="s">
        <v>1547</v>
      </c>
      <c r="E1096" s="111" t="s">
        <v>1925</v>
      </c>
      <c r="F1096" s="111"/>
      <c r="G1096" s="110" t="s">
        <v>2074</v>
      </c>
      <c r="H1096" s="141">
        <v>22.925176</v>
      </c>
      <c r="I1096" s="280"/>
      <c r="J1096" s="72">
        <v>148.52000000000001</v>
      </c>
      <c r="K1096" s="271">
        <f t="shared" si="51"/>
        <v>3404.8471395200004</v>
      </c>
      <c r="L1096" s="111"/>
      <c r="M1096" s="73"/>
      <c r="N1096" s="112"/>
      <c r="O1096" s="111"/>
      <c r="P1096" s="312">
        <v>0</v>
      </c>
      <c r="Q1096" s="288">
        <f t="shared" si="52"/>
        <v>0</v>
      </c>
      <c r="R1096" s="118">
        <v>0</v>
      </c>
      <c r="S1096" s="283">
        <v>2016</v>
      </c>
      <c r="T1096" s="288">
        <f t="shared" si="50"/>
        <v>3689</v>
      </c>
    </row>
    <row r="1097" spans="2:20">
      <c r="B1097" s="386" t="s">
        <v>1202</v>
      </c>
      <c r="C1097" s="114"/>
      <c r="D1097" s="111" t="s">
        <v>1546</v>
      </c>
      <c r="E1097" s="111" t="s">
        <v>1926</v>
      </c>
      <c r="F1097" s="111"/>
      <c r="G1097" s="110" t="s">
        <v>2073</v>
      </c>
      <c r="H1097" s="141">
        <v>1121.947598</v>
      </c>
      <c r="I1097" s="280"/>
      <c r="J1097" s="72">
        <v>148.52000000000001</v>
      </c>
      <c r="K1097" s="271">
        <f t="shared" si="51"/>
        <v>166631.65725496001</v>
      </c>
      <c r="L1097" s="111"/>
      <c r="M1097" s="73"/>
      <c r="N1097" s="112"/>
      <c r="O1097" s="111"/>
      <c r="P1097" s="312">
        <v>0</v>
      </c>
      <c r="Q1097" s="288">
        <f t="shared" si="52"/>
        <v>0</v>
      </c>
      <c r="R1097" s="118">
        <v>0</v>
      </c>
      <c r="S1097" s="283">
        <v>2016</v>
      </c>
      <c r="T1097" s="288">
        <f t="shared" si="50"/>
        <v>180560</v>
      </c>
    </row>
    <row r="1098" spans="2:20">
      <c r="B1098" s="386" t="s">
        <v>1203</v>
      </c>
      <c r="C1098" s="114"/>
      <c r="D1098" s="111" t="s">
        <v>1546</v>
      </c>
      <c r="E1098" s="111" t="s">
        <v>1926</v>
      </c>
      <c r="F1098" s="111"/>
      <c r="G1098" s="110" t="s">
        <v>2073</v>
      </c>
      <c r="H1098" s="141">
        <v>220.14298199999999</v>
      </c>
      <c r="I1098" s="280"/>
      <c r="J1098" s="72">
        <v>148.52000000000001</v>
      </c>
      <c r="K1098" s="271">
        <f t="shared" si="51"/>
        <v>32695.635686640002</v>
      </c>
      <c r="L1098" s="111"/>
      <c r="M1098" s="73"/>
      <c r="N1098" s="112"/>
      <c r="O1098" s="111"/>
      <c r="P1098" s="312">
        <v>0</v>
      </c>
      <c r="Q1098" s="288">
        <f t="shared" si="52"/>
        <v>0</v>
      </c>
      <c r="R1098" s="118">
        <v>0</v>
      </c>
      <c r="S1098" s="283">
        <v>2016</v>
      </c>
      <c r="T1098" s="288">
        <f t="shared" si="50"/>
        <v>35429</v>
      </c>
    </row>
    <row r="1099" spans="2:20">
      <c r="B1099" s="386" t="s">
        <v>1204</v>
      </c>
      <c r="C1099" s="114"/>
      <c r="D1099" s="111" t="s">
        <v>1546</v>
      </c>
      <c r="E1099" s="111" t="s">
        <v>1926</v>
      </c>
      <c r="F1099" s="111"/>
      <c r="G1099" s="110" t="s">
        <v>2073</v>
      </c>
      <c r="H1099" s="141">
        <v>245.14175299999999</v>
      </c>
      <c r="I1099" s="280"/>
      <c r="J1099" s="72">
        <v>148.52000000000001</v>
      </c>
      <c r="K1099" s="271">
        <f t="shared" si="51"/>
        <v>36408.453155560004</v>
      </c>
      <c r="L1099" s="111"/>
      <c r="M1099" s="73"/>
      <c r="N1099" s="112"/>
      <c r="O1099" s="111"/>
      <c r="P1099" s="312">
        <v>0</v>
      </c>
      <c r="Q1099" s="288">
        <f t="shared" si="52"/>
        <v>0</v>
      </c>
      <c r="R1099" s="118">
        <v>0</v>
      </c>
      <c r="S1099" s="283">
        <v>2016</v>
      </c>
      <c r="T1099" s="288">
        <f t="shared" si="50"/>
        <v>39452</v>
      </c>
    </row>
    <row r="1100" spans="2:20">
      <c r="B1100" s="386" t="s">
        <v>1205</v>
      </c>
      <c r="C1100" s="114"/>
      <c r="D1100" s="111" t="s">
        <v>1546</v>
      </c>
      <c r="E1100" s="111" t="s">
        <v>1926</v>
      </c>
      <c r="F1100" s="111"/>
      <c r="G1100" s="110" t="s">
        <v>2073</v>
      </c>
      <c r="H1100" s="141">
        <v>45.290503000000001</v>
      </c>
      <c r="I1100" s="280"/>
      <c r="J1100" s="72">
        <v>148.52000000000001</v>
      </c>
      <c r="K1100" s="271">
        <f t="shared" si="51"/>
        <v>6726.5455055600005</v>
      </c>
      <c r="L1100" s="111"/>
      <c r="M1100" s="73"/>
      <c r="N1100" s="112"/>
      <c r="O1100" s="111"/>
      <c r="P1100" s="312">
        <v>0</v>
      </c>
      <c r="Q1100" s="288">
        <f t="shared" si="52"/>
        <v>0</v>
      </c>
      <c r="R1100" s="118">
        <v>0</v>
      </c>
      <c r="S1100" s="283">
        <v>2016</v>
      </c>
      <c r="T1100" s="288">
        <f t="shared" si="50"/>
        <v>7289</v>
      </c>
    </row>
    <row r="1101" spans="2:20">
      <c r="B1101" s="386" t="s">
        <v>1206</v>
      </c>
      <c r="C1101" s="114"/>
      <c r="D1101" s="111" t="s">
        <v>1546</v>
      </c>
      <c r="E1101" s="111" t="s">
        <v>1926</v>
      </c>
      <c r="F1101" s="111"/>
      <c r="G1101" s="110" t="s">
        <v>2073</v>
      </c>
      <c r="H1101" s="141">
        <v>43.701703000000002</v>
      </c>
      <c r="I1101" s="280"/>
      <c r="J1101" s="72">
        <v>148.52000000000001</v>
      </c>
      <c r="K1101" s="271">
        <f t="shared" si="51"/>
        <v>6490.5769295600012</v>
      </c>
      <c r="L1101" s="111"/>
      <c r="M1101" s="73"/>
      <c r="N1101" s="112"/>
      <c r="O1101" s="111"/>
      <c r="P1101" s="312">
        <v>0</v>
      </c>
      <c r="Q1101" s="288">
        <f t="shared" si="52"/>
        <v>0</v>
      </c>
      <c r="R1101" s="118">
        <v>0</v>
      </c>
      <c r="S1101" s="283">
        <v>2016</v>
      </c>
      <c r="T1101" s="288">
        <f t="shared" ref="T1101:T1164" si="53">IFERROR(ROUND((K1101*(1+PPI_Existing)^(YEAR-S1101))+(R1101*((1+LandInd_Existing)^(YEAR-S1101))),0),0)</f>
        <v>7033</v>
      </c>
    </row>
    <row r="1102" spans="2:20">
      <c r="B1102" s="386" t="s">
        <v>1207</v>
      </c>
      <c r="C1102" s="114"/>
      <c r="D1102" s="111" t="s">
        <v>1546</v>
      </c>
      <c r="E1102" s="111" t="s">
        <v>1926</v>
      </c>
      <c r="F1102" s="111"/>
      <c r="G1102" s="110" t="s">
        <v>2074</v>
      </c>
      <c r="H1102" s="141">
        <v>74.949574999999996</v>
      </c>
      <c r="I1102" s="280"/>
      <c r="J1102" s="72">
        <v>148.52000000000001</v>
      </c>
      <c r="K1102" s="271">
        <f t="shared" si="51"/>
        <v>11131.510878999999</v>
      </c>
      <c r="L1102" s="111"/>
      <c r="M1102" s="73"/>
      <c r="N1102" s="112"/>
      <c r="O1102" s="111"/>
      <c r="P1102" s="312">
        <v>0</v>
      </c>
      <c r="Q1102" s="288">
        <f t="shared" si="52"/>
        <v>0</v>
      </c>
      <c r="R1102" s="118">
        <v>0</v>
      </c>
      <c r="S1102" s="283">
        <v>2016</v>
      </c>
      <c r="T1102" s="288">
        <f t="shared" si="53"/>
        <v>12062</v>
      </c>
    </row>
    <row r="1103" spans="2:20">
      <c r="B1103" s="386" t="s">
        <v>1208</v>
      </c>
      <c r="C1103" s="114"/>
      <c r="D1103" s="111" t="s">
        <v>1546</v>
      </c>
      <c r="E1103" s="111" t="s">
        <v>1926</v>
      </c>
      <c r="F1103" s="111"/>
      <c r="G1103" s="110" t="s">
        <v>2074</v>
      </c>
      <c r="H1103" s="141">
        <v>102.880926</v>
      </c>
      <c r="I1103" s="280"/>
      <c r="J1103" s="72">
        <v>148.52000000000001</v>
      </c>
      <c r="K1103" s="271">
        <f t="shared" si="51"/>
        <v>15279.875129520002</v>
      </c>
      <c r="L1103" s="111"/>
      <c r="M1103" s="73"/>
      <c r="N1103" s="112"/>
      <c r="O1103" s="111"/>
      <c r="P1103" s="312">
        <v>0</v>
      </c>
      <c r="Q1103" s="288">
        <f t="shared" si="52"/>
        <v>0</v>
      </c>
      <c r="R1103" s="118">
        <v>0</v>
      </c>
      <c r="S1103" s="283">
        <v>2016</v>
      </c>
      <c r="T1103" s="288">
        <f t="shared" si="53"/>
        <v>16557</v>
      </c>
    </row>
    <row r="1104" spans="2:20">
      <c r="B1104" s="386" t="s">
        <v>1209</v>
      </c>
      <c r="C1104" s="114"/>
      <c r="D1104" s="111" t="s">
        <v>1547</v>
      </c>
      <c r="E1104" s="111" t="s">
        <v>1926</v>
      </c>
      <c r="F1104" s="111"/>
      <c r="G1104" s="110" t="s">
        <v>2073</v>
      </c>
      <c r="H1104" s="141">
        <v>120.045455</v>
      </c>
      <c r="I1104" s="280"/>
      <c r="J1104" s="72">
        <v>148.52000000000001</v>
      </c>
      <c r="K1104" s="271">
        <f t="shared" si="51"/>
        <v>17829.150976600002</v>
      </c>
      <c r="L1104" s="111"/>
      <c r="M1104" s="73"/>
      <c r="N1104" s="112"/>
      <c r="O1104" s="111"/>
      <c r="P1104" s="312">
        <v>0</v>
      </c>
      <c r="Q1104" s="288">
        <f t="shared" si="52"/>
        <v>0</v>
      </c>
      <c r="R1104" s="118">
        <v>0</v>
      </c>
      <c r="S1104" s="283">
        <v>2016</v>
      </c>
      <c r="T1104" s="288">
        <f t="shared" si="53"/>
        <v>19319</v>
      </c>
    </row>
    <row r="1105" spans="2:20">
      <c r="B1105" s="386" t="s">
        <v>1210</v>
      </c>
      <c r="C1105" s="114"/>
      <c r="D1105" s="111" t="s">
        <v>1547</v>
      </c>
      <c r="E1105" s="111" t="s">
        <v>1927</v>
      </c>
      <c r="F1105" s="111"/>
      <c r="G1105" s="110" t="s">
        <v>2073</v>
      </c>
      <c r="H1105" s="141">
        <v>25.826135000000001</v>
      </c>
      <c r="I1105" s="280"/>
      <c r="J1105" s="72">
        <v>148.52000000000001</v>
      </c>
      <c r="K1105" s="271">
        <f t="shared" si="51"/>
        <v>3835.6975702000004</v>
      </c>
      <c r="L1105" s="111"/>
      <c r="M1105" s="73"/>
      <c r="N1105" s="112"/>
      <c r="O1105" s="111"/>
      <c r="P1105" s="312">
        <v>0</v>
      </c>
      <c r="Q1105" s="288">
        <f t="shared" si="52"/>
        <v>0</v>
      </c>
      <c r="R1105" s="118">
        <v>0</v>
      </c>
      <c r="S1105" s="283">
        <v>2016</v>
      </c>
      <c r="T1105" s="288">
        <f t="shared" si="53"/>
        <v>4156</v>
      </c>
    </row>
    <row r="1106" spans="2:20">
      <c r="B1106" s="386" t="s">
        <v>1211</v>
      </c>
      <c r="C1106" s="114"/>
      <c r="D1106" s="111" t="s">
        <v>1546</v>
      </c>
      <c r="E1106" s="111" t="s">
        <v>1928</v>
      </c>
      <c r="F1106" s="111"/>
      <c r="G1106" s="110" t="s">
        <v>2073</v>
      </c>
      <c r="H1106" s="141">
        <v>108.030866</v>
      </c>
      <c r="I1106" s="280"/>
      <c r="J1106" s="72">
        <v>148.52000000000001</v>
      </c>
      <c r="K1106" s="271">
        <f t="shared" si="51"/>
        <v>16044.744218320002</v>
      </c>
      <c r="L1106" s="111"/>
      <c r="M1106" s="73"/>
      <c r="N1106" s="112"/>
      <c r="O1106" s="111"/>
      <c r="P1106" s="312">
        <v>0</v>
      </c>
      <c r="Q1106" s="288">
        <f t="shared" si="52"/>
        <v>0</v>
      </c>
      <c r="R1106" s="118">
        <v>0</v>
      </c>
      <c r="S1106" s="283">
        <v>2016</v>
      </c>
      <c r="T1106" s="288">
        <f t="shared" si="53"/>
        <v>17386</v>
      </c>
    </row>
    <row r="1107" spans="2:20">
      <c r="B1107" s="386" t="s">
        <v>1212</v>
      </c>
      <c r="C1107" s="114"/>
      <c r="D1107" s="111" t="s">
        <v>1546</v>
      </c>
      <c r="E1107" s="111" t="s">
        <v>1928</v>
      </c>
      <c r="F1107" s="111"/>
      <c r="G1107" s="110" t="s">
        <v>2073</v>
      </c>
      <c r="H1107" s="141">
        <v>117.37293200000001</v>
      </c>
      <c r="I1107" s="280"/>
      <c r="J1107" s="72">
        <v>148.52000000000001</v>
      </c>
      <c r="K1107" s="271">
        <f t="shared" si="51"/>
        <v>17432.227860640003</v>
      </c>
      <c r="L1107" s="111"/>
      <c r="M1107" s="73"/>
      <c r="N1107" s="112"/>
      <c r="O1107" s="111"/>
      <c r="P1107" s="312">
        <v>0</v>
      </c>
      <c r="Q1107" s="288">
        <f t="shared" si="52"/>
        <v>0</v>
      </c>
      <c r="R1107" s="118">
        <v>0</v>
      </c>
      <c r="S1107" s="283">
        <v>2016</v>
      </c>
      <c r="T1107" s="288">
        <f t="shared" si="53"/>
        <v>18889</v>
      </c>
    </row>
    <row r="1108" spans="2:20">
      <c r="B1108" s="386" t="s">
        <v>1213</v>
      </c>
      <c r="C1108" s="114"/>
      <c r="D1108" s="111" t="s">
        <v>1547</v>
      </c>
      <c r="E1108" s="111" t="s">
        <v>1929</v>
      </c>
      <c r="F1108" s="111"/>
      <c r="G1108" s="110" t="s">
        <v>2073</v>
      </c>
      <c r="H1108" s="141">
        <v>72.613817999999995</v>
      </c>
      <c r="I1108" s="280"/>
      <c r="J1108" s="72">
        <v>148.52000000000001</v>
      </c>
      <c r="K1108" s="271">
        <f t="shared" si="51"/>
        <v>10784.60424936</v>
      </c>
      <c r="L1108" s="111"/>
      <c r="M1108" s="73"/>
      <c r="N1108" s="112"/>
      <c r="O1108" s="111"/>
      <c r="P1108" s="312">
        <v>0</v>
      </c>
      <c r="Q1108" s="288">
        <f t="shared" si="52"/>
        <v>0</v>
      </c>
      <c r="R1108" s="118">
        <v>0</v>
      </c>
      <c r="S1108" s="283">
        <v>2016</v>
      </c>
      <c r="T1108" s="288">
        <f t="shared" si="53"/>
        <v>11686</v>
      </c>
    </row>
    <row r="1109" spans="2:20">
      <c r="B1109" s="386" t="s">
        <v>1214</v>
      </c>
      <c r="C1109" s="114"/>
      <c r="D1109" s="111" t="s">
        <v>1547</v>
      </c>
      <c r="E1109" s="111" t="s">
        <v>1929</v>
      </c>
      <c r="F1109" s="111"/>
      <c r="G1109" s="110" t="s">
        <v>2073</v>
      </c>
      <c r="H1109" s="141">
        <v>61.796258999999999</v>
      </c>
      <c r="I1109" s="280"/>
      <c r="J1109" s="72">
        <v>148.52000000000001</v>
      </c>
      <c r="K1109" s="271">
        <f t="shared" si="51"/>
        <v>9177.9803866800012</v>
      </c>
      <c r="L1109" s="111"/>
      <c r="M1109" s="73"/>
      <c r="N1109" s="112"/>
      <c r="O1109" s="111"/>
      <c r="P1109" s="312">
        <v>0</v>
      </c>
      <c r="Q1109" s="288">
        <f t="shared" si="52"/>
        <v>0</v>
      </c>
      <c r="R1109" s="118">
        <v>0</v>
      </c>
      <c r="S1109" s="283">
        <v>2016</v>
      </c>
      <c r="T1109" s="288">
        <f t="shared" si="53"/>
        <v>9945</v>
      </c>
    </row>
    <row r="1110" spans="2:20">
      <c r="B1110" s="386" t="s">
        <v>1215</v>
      </c>
      <c r="C1110" s="114"/>
      <c r="D1110" s="111" t="s">
        <v>1547</v>
      </c>
      <c r="E1110" s="111" t="s">
        <v>1930</v>
      </c>
      <c r="F1110" s="111"/>
      <c r="G1110" s="110" t="s">
        <v>2073</v>
      </c>
      <c r="H1110" s="141">
        <v>859.89974299999994</v>
      </c>
      <c r="I1110" s="280"/>
      <c r="J1110" s="72">
        <v>148.52000000000001</v>
      </c>
      <c r="K1110" s="271">
        <f t="shared" si="51"/>
        <v>127712.30983036</v>
      </c>
      <c r="L1110" s="111"/>
      <c r="M1110" s="73"/>
      <c r="N1110" s="112"/>
      <c r="O1110" s="111"/>
      <c r="P1110" s="312">
        <v>0</v>
      </c>
      <c r="Q1110" s="288">
        <f t="shared" si="52"/>
        <v>0</v>
      </c>
      <c r="R1110" s="118">
        <v>0</v>
      </c>
      <c r="S1110" s="283">
        <v>2016</v>
      </c>
      <c r="T1110" s="288">
        <f t="shared" si="53"/>
        <v>138388</v>
      </c>
    </row>
    <row r="1111" spans="2:20">
      <c r="B1111" s="386" t="s">
        <v>1216</v>
      </c>
      <c r="C1111" s="114"/>
      <c r="D1111" s="111" t="s">
        <v>1547</v>
      </c>
      <c r="E1111" s="111" t="s">
        <v>1931</v>
      </c>
      <c r="F1111" s="111"/>
      <c r="G1111" s="110" t="s">
        <v>2073</v>
      </c>
      <c r="H1111" s="141">
        <v>422.48804699999999</v>
      </c>
      <c r="I1111" s="280"/>
      <c r="J1111" s="72">
        <v>148.52000000000001</v>
      </c>
      <c r="K1111" s="271">
        <f t="shared" si="51"/>
        <v>62747.924740440001</v>
      </c>
      <c r="L1111" s="111"/>
      <c r="M1111" s="73"/>
      <c r="N1111" s="112"/>
      <c r="O1111" s="111"/>
      <c r="P1111" s="312">
        <v>0</v>
      </c>
      <c r="Q1111" s="288">
        <f t="shared" si="52"/>
        <v>0</v>
      </c>
      <c r="R1111" s="118">
        <v>0</v>
      </c>
      <c r="S1111" s="283">
        <v>2016</v>
      </c>
      <c r="T1111" s="288">
        <f t="shared" si="53"/>
        <v>67993</v>
      </c>
    </row>
    <row r="1112" spans="2:20">
      <c r="B1112" s="386" t="s">
        <v>1217</v>
      </c>
      <c r="C1112" s="114"/>
      <c r="D1112" s="111" t="s">
        <v>1547</v>
      </c>
      <c r="E1112" s="111" t="s">
        <v>1932</v>
      </c>
      <c r="F1112" s="111"/>
      <c r="G1112" s="110" t="s">
        <v>2073</v>
      </c>
      <c r="H1112" s="141">
        <v>102.80350199999999</v>
      </c>
      <c r="I1112" s="280"/>
      <c r="J1112" s="72">
        <v>148.52000000000001</v>
      </c>
      <c r="K1112" s="271">
        <f t="shared" si="51"/>
        <v>15268.376117039999</v>
      </c>
      <c r="L1112" s="111"/>
      <c r="M1112" s="73"/>
      <c r="N1112" s="112"/>
      <c r="O1112" s="111"/>
      <c r="P1112" s="312">
        <v>0</v>
      </c>
      <c r="Q1112" s="288">
        <f t="shared" si="52"/>
        <v>0</v>
      </c>
      <c r="R1112" s="118">
        <v>0</v>
      </c>
      <c r="S1112" s="283">
        <v>2016</v>
      </c>
      <c r="T1112" s="288">
        <f t="shared" si="53"/>
        <v>16545</v>
      </c>
    </row>
    <row r="1113" spans="2:20">
      <c r="B1113" s="386" t="s">
        <v>1218</v>
      </c>
      <c r="C1113" s="114"/>
      <c r="D1113" s="111" t="s">
        <v>1547</v>
      </c>
      <c r="E1113" s="111" t="s">
        <v>1932</v>
      </c>
      <c r="F1113" s="111"/>
      <c r="G1113" s="110" t="s">
        <v>2073</v>
      </c>
      <c r="H1113" s="141">
        <v>1002.917976</v>
      </c>
      <c r="I1113" s="280"/>
      <c r="J1113" s="72">
        <v>148.52000000000001</v>
      </c>
      <c r="K1113" s="271">
        <f t="shared" ref="K1113:K1172" si="54">J1113*H1113</f>
        <v>148953.37779552001</v>
      </c>
      <c r="L1113" s="111"/>
      <c r="M1113" s="73"/>
      <c r="N1113" s="112"/>
      <c r="O1113" s="111"/>
      <c r="P1113" s="312">
        <v>0</v>
      </c>
      <c r="Q1113" s="288">
        <f t="shared" ref="Q1113:Q1172" si="55">IFERROR(R1113/P1113,0)</f>
        <v>0</v>
      </c>
      <c r="R1113" s="118">
        <v>0</v>
      </c>
      <c r="S1113" s="283">
        <v>2016</v>
      </c>
      <c r="T1113" s="288">
        <f t="shared" si="53"/>
        <v>161404</v>
      </c>
    </row>
    <row r="1114" spans="2:20">
      <c r="B1114" s="386" t="s">
        <v>1219</v>
      </c>
      <c r="C1114" s="114"/>
      <c r="D1114" s="111" t="s">
        <v>1547</v>
      </c>
      <c r="E1114" s="111" t="s">
        <v>1933</v>
      </c>
      <c r="F1114" s="111"/>
      <c r="G1114" s="110" t="s">
        <v>2074</v>
      </c>
      <c r="H1114" s="141">
        <v>34.661684000000001</v>
      </c>
      <c r="I1114" s="280"/>
      <c r="J1114" s="72">
        <v>148.52000000000001</v>
      </c>
      <c r="K1114" s="271">
        <f t="shared" si="54"/>
        <v>5147.9533076800008</v>
      </c>
      <c r="L1114" s="111"/>
      <c r="M1114" s="73"/>
      <c r="N1114" s="112"/>
      <c r="O1114" s="111"/>
      <c r="P1114" s="312">
        <v>0</v>
      </c>
      <c r="Q1114" s="288">
        <f t="shared" si="55"/>
        <v>0</v>
      </c>
      <c r="R1114" s="118">
        <v>0</v>
      </c>
      <c r="S1114" s="283">
        <v>2016</v>
      </c>
      <c r="T1114" s="288">
        <f t="shared" si="53"/>
        <v>5578</v>
      </c>
    </row>
    <row r="1115" spans="2:20">
      <c r="B1115" s="386" t="s">
        <v>1220</v>
      </c>
      <c r="C1115" s="114"/>
      <c r="D1115" s="111" t="s">
        <v>1547</v>
      </c>
      <c r="E1115" s="111" t="s">
        <v>1933</v>
      </c>
      <c r="F1115" s="111"/>
      <c r="G1115" s="110" t="s">
        <v>2073</v>
      </c>
      <c r="H1115" s="141">
        <v>211.73437799999999</v>
      </c>
      <c r="I1115" s="280"/>
      <c r="J1115" s="72">
        <v>148.52000000000001</v>
      </c>
      <c r="K1115" s="271">
        <f t="shared" si="54"/>
        <v>31446.789820559999</v>
      </c>
      <c r="L1115" s="111"/>
      <c r="M1115" s="73"/>
      <c r="N1115" s="112"/>
      <c r="O1115" s="111"/>
      <c r="P1115" s="312">
        <v>0</v>
      </c>
      <c r="Q1115" s="288">
        <f t="shared" si="55"/>
        <v>0</v>
      </c>
      <c r="R1115" s="118">
        <v>0</v>
      </c>
      <c r="S1115" s="283">
        <v>2016</v>
      </c>
      <c r="T1115" s="288">
        <f t="shared" si="53"/>
        <v>34075</v>
      </c>
    </row>
    <row r="1116" spans="2:20">
      <c r="B1116" s="386" t="s">
        <v>1221</v>
      </c>
      <c r="C1116" s="114"/>
      <c r="D1116" s="111" t="s">
        <v>1547</v>
      </c>
      <c r="E1116" s="111" t="s">
        <v>1933</v>
      </c>
      <c r="F1116" s="111"/>
      <c r="G1116" s="110" t="s">
        <v>2073</v>
      </c>
      <c r="H1116" s="141">
        <v>532.09304999999995</v>
      </c>
      <c r="I1116" s="280"/>
      <c r="J1116" s="72">
        <v>148.52000000000001</v>
      </c>
      <c r="K1116" s="271">
        <f t="shared" si="54"/>
        <v>79026.459785999992</v>
      </c>
      <c r="L1116" s="111"/>
      <c r="M1116" s="73"/>
      <c r="N1116" s="112"/>
      <c r="O1116" s="111"/>
      <c r="P1116" s="312">
        <v>0</v>
      </c>
      <c r="Q1116" s="288">
        <f t="shared" si="55"/>
        <v>0</v>
      </c>
      <c r="R1116" s="118">
        <v>0</v>
      </c>
      <c r="S1116" s="283">
        <v>2016</v>
      </c>
      <c r="T1116" s="288">
        <f t="shared" si="53"/>
        <v>85632</v>
      </c>
    </row>
    <row r="1117" spans="2:20">
      <c r="B1117" s="386" t="s">
        <v>1222</v>
      </c>
      <c r="C1117" s="114"/>
      <c r="D1117" s="111" t="s">
        <v>1547</v>
      </c>
      <c r="E1117" s="111" t="s">
        <v>1933</v>
      </c>
      <c r="F1117" s="111"/>
      <c r="G1117" s="110" t="s">
        <v>2073</v>
      </c>
      <c r="H1117" s="141">
        <v>501.38599699999997</v>
      </c>
      <c r="I1117" s="280"/>
      <c r="J1117" s="72">
        <v>148.52000000000001</v>
      </c>
      <c r="K1117" s="271">
        <f t="shared" si="54"/>
        <v>74465.848274439995</v>
      </c>
      <c r="L1117" s="111"/>
      <c r="M1117" s="73"/>
      <c r="N1117" s="112"/>
      <c r="O1117" s="111"/>
      <c r="P1117" s="312">
        <v>0</v>
      </c>
      <c r="Q1117" s="288">
        <f t="shared" si="55"/>
        <v>0</v>
      </c>
      <c r="R1117" s="118">
        <v>0</v>
      </c>
      <c r="S1117" s="283">
        <v>2016</v>
      </c>
      <c r="T1117" s="288">
        <f t="shared" si="53"/>
        <v>80690</v>
      </c>
    </row>
    <row r="1118" spans="2:20">
      <c r="B1118" s="386" t="s">
        <v>1223</v>
      </c>
      <c r="C1118" s="114"/>
      <c r="D1118" s="111" t="s">
        <v>1547</v>
      </c>
      <c r="E1118" s="111" t="s">
        <v>1934</v>
      </c>
      <c r="F1118" s="111"/>
      <c r="G1118" s="110" t="s">
        <v>2073</v>
      </c>
      <c r="H1118" s="141">
        <v>786.949027</v>
      </c>
      <c r="I1118" s="280"/>
      <c r="J1118" s="72">
        <v>148.52000000000001</v>
      </c>
      <c r="K1118" s="271">
        <f t="shared" si="54"/>
        <v>116877.66949004</v>
      </c>
      <c r="L1118" s="111"/>
      <c r="M1118" s="73"/>
      <c r="N1118" s="112"/>
      <c r="O1118" s="111"/>
      <c r="P1118" s="312">
        <v>0</v>
      </c>
      <c r="Q1118" s="288">
        <f t="shared" si="55"/>
        <v>0</v>
      </c>
      <c r="R1118" s="118">
        <v>0</v>
      </c>
      <c r="S1118" s="283">
        <v>2016</v>
      </c>
      <c r="T1118" s="288">
        <f t="shared" si="53"/>
        <v>126647</v>
      </c>
    </row>
    <row r="1119" spans="2:20">
      <c r="B1119" s="386" t="s">
        <v>1224</v>
      </c>
      <c r="C1119" s="114"/>
      <c r="D1119" s="111" t="s">
        <v>1547</v>
      </c>
      <c r="E1119" s="111" t="s">
        <v>1934</v>
      </c>
      <c r="F1119" s="111"/>
      <c r="G1119" s="110" t="s">
        <v>2073</v>
      </c>
      <c r="H1119" s="141">
        <v>432.18009599999999</v>
      </c>
      <c r="I1119" s="280"/>
      <c r="J1119" s="72">
        <v>148.52000000000001</v>
      </c>
      <c r="K1119" s="271">
        <f t="shared" si="54"/>
        <v>64187.387857920003</v>
      </c>
      <c r="L1119" s="111"/>
      <c r="M1119" s="73"/>
      <c r="N1119" s="112"/>
      <c r="O1119" s="111"/>
      <c r="P1119" s="312">
        <v>0</v>
      </c>
      <c r="Q1119" s="288">
        <f t="shared" si="55"/>
        <v>0</v>
      </c>
      <c r="R1119" s="118">
        <v>0</v>
      </c>
      <c r="S1119" s="283">
        <v>2016</v>
      </c>
      <c r="T1119" s="288">
        <f t="shared" si="53"/>
        <v>69553</v>
      </c>
    </row>
    <row r="1120" spans="2:20">
      <c r="B1120" s="386" t="s">
        <v>1225</v>
      </c>
      <c r="C1120" s="114"/>
      <c r="D1120" s="111" t="s">
        <v>1547</v>
      </c>
      <c r="E1120" s="111" t="s">
        <v>1935</v>
      </c>
      <c r="F1120" s="111"/>
      <c r="G1120" s="110" t="s">
        <v>2073</v>
      </c>
      <c r="H1120" s="141">
        <v>1617.3533279999999</v>
      </c>
      <c r="I1120" s="280"/>
      <c r="J1120" s="72">
        <v>148.52000000000001</v>
      </c>
      <c r="K1120" s="271">
        <f t="shared" si="54"/>
        <v>240209.31627456</v>
      </c>
      <c r="L1120" s="111"/>
      <c r="M1120" s="73"/>
      <c r="N1120" s="112"/>
      <c r="O1120" s="111"/>
      <c r="P1120" s="312">
        <v>0</v>
      </c>
      <c r="Q1120" s="288">
        <f t="shared" si="55"/>
        <v>0</v>
      </c>
      <c r="R1120" s="118">
        <v>0</v>
      </c>
      <c r="S1120" s="283">
        <v>2016</v>
      </c>
      <c r="T1120" s="288">
        <f t="shared" si="53"/>
        <v>260288</v>
      </c>
    </row>
    <row r="1121" spans="2:20">
      <c r="B1121" s="386" t="s">
        <v>1226</v>
      </c>
      <c r="C1121" s="114"/>
      <c r="D1121" s="111" t="s">
        <v>1546</v>
      </c>
      <c r="E1121" s="111" t="s">
        <v>1936</v>
      </c>
      <c r="F1121" s="111"/>
      <c r="G1121" s="110" t="s">
        <v>2073</v>
      </c>
      <c r="H1121" s="141">
        <v>1255.4098690000001</v>
      </c>
      <c r="I1121" s="280"/>
      <c r="J1121" s="72">
        <v>148.52000000000001</v>
      </c>
      <c r="K1121" s="271">
        <f t="shared" si="54"/>
        <v>186453.47374388002</v>
      </c>
      <c r="L1121" s="111"/>
      <c r="M1121" s="73"/>
      <c r="N1121" s="112"/>
      <c r="O1121" s="111"/>
      <c r="P1121" s="312">
        <v>0</v>
      </c>
      <c r="Q1121" s="288">
        <f t="shared" si="55"/>
        <v>0</v>
      </c>
      <c r="R1121" s="118">
        <v>0</v>
      </c>
      <c r="S1121" s="283">
        <v>2016</v>
      </c>
      <c r="T1121" s="288">
        <f t="shared" si="53"/>
        <v>202039</v>
      </c>
    </row>
    <row r="1122" spans="2:20">
      <c r="B1122" s="386" t="s">
        <v>1227</v>
      </c>
      <c r="C1122" s="114"/>
      <c r="D1122" s="111" t="s">
        <v>1546</v>
      </c>
      <c r="E1122" s="111" t="s">
        <v>1936</v>
      </c>
      <c r="F1122" s="111"/>
      <c r="G1122" s="110" t="s">
        <v>2073</v>
      </c>
      <c r="H1122" s="141">
        <v>456.44980600000002</v>
      </c>
      <c r="I1122" s="280"/>
      <c r="J1122" s="72">
        <v>148.52000000000001</v>
      </c>
      <c r="K1122" s="271">
        <f t="shared" si="54"/>
        <v>67791.92518712001</v>
      </c>
      <c r="L1122" s="111"/>
      <c r="M1122" s="73"/>
      <c r="N1122" s="112"/>
      <c r="O1122" s="111"/>
      <c r="P1122" s="312">
        <v>0</v>
      </c>
      <c r="Q1122" s="288">
        <f t="shared" si="55"/>
        <v>0</v>
      </c>
      <c r="R1122" s="118">
        <v>0</v>
      </c>
      <c r="S1122" s="283">
        <v>2016</v>
      </c>
      <c r="T1122" s="288">
        <f t="shared" si="53"/>
        <v>73459</v>
      </c>
    </row>
    <row r="1123" spans="2:20">
      <c r="B1123" s="386" t="s">
        <v>1228</v>
      </c>
      <c r="C1123" s="114"/>
      <c r="D1123" s="111" t="s">
        <v>1547</v>
      </c>
      <c r="E1123" s="111" t="s">
        <v>1937</v>
      </c>
      <c r="F1123" s="111"/>
      <c r="G1123" s="110" t="s">
        <v>2073</v>
      </c>
      <c r="H1123" s="141">
        <v>896.00636699999995</v>
      </c>
      <c r="I1123" s="280"/>
      <c r="J1123" s="72">
        <v>148.52000000000001</v>
      </c>
      <c r="K1123" s="271">
        <f t="shared" si="54"/>
        <v>133074.86562684001</v>
      </c>
      <c r="L1123" s="111"/>
      <c r="M1123" s="73"/>
      <c r="N1123" s="112"/>
      <c r="O1123" s="111"/>
      <c r="P1123" s="312">
        <v>0</v>
      </c>
      <c r="Q1123" s="288">
        <f t="shared" si="55"/>
        <v>0</v>
      </c>
      <c r="R1123" s="118">
        <v>0</v>
      </c>
      <c r="S1123" s="283">
        <v>2016</v>
      </c>
      <c r="T1123" s="288">
        <f t="shared" si="53"/>
        <v>144199</v>
      </c>
    </row>
    <row r="1124" spans="2:20">
      <c r="B1124" s="386" t="s">
        <v>1229</v>
      </c>
      <c r="C1124" s="114"/>
      <c r="D1124" s="111" t="s">
        <v>1547</v>
      </c>
      <c r="E1124" s="111" t="s">
        <v>1937</v>
      </c>
      <c r="F1124" s="111"/>
      <c r="G1124" s="110" t="s">
        <v>2073</v>
      </c>
      <c r="H1124" s="141">
        <v>801.36402699999996</v>
      </c>
      <c r="I1124" s="280"/>
      <c r="J1124" s="72">
        <v>148.52000000000001</v>
      </c>
      <c r="K1124" s="271">
        <f t="shared" si="54"/>
        <v>119018.58529004001</v>
      </c>
      <c r="L1124" s="111"/>
      <c r="M1124" s="73"/>
      <c r="N1124" s="112"/>
      <c r="O1124" s="111"/>
      <c r="P1124" s="312">
        <v>0</v>
      </c>
      <c r="Q1124" s="288">
        <f t="shared" si="55"/>
        <v>0</v>
      </c>
      <c r="R1124" s="118">
        <v>0</v>
      </c>
      <c r="S1124" s="283">
        <v>2016</v>
      </c>
      <c r="T1124" s="288">
        <f t="shared" si="53"/>
        <v>128967</v>
      </c>
    </row>
    <row r="1125" spans="2:20">
      <c r="B1125" s="386" t="s">
        <v>1230</v>
      </c>
      <c r="C1125" s="114"/>
      <c r="D1125" s="111" t="s">
        <v>1547</v>
      </c>
      <c r="E1125" s="111" t="s">
        <v>1797</v>
      </c>
      <c r="F1125" s="111"/>
      <c r="G1125" s="110" t="s">
        <v>2073</v>
      </c>
      <c r="H1125" s="141">
        <v>50.484983</v>
      </c>
      <c r="I1125" s="280"/>
      <c r="J1125" s="72">
        <v>148.52000000000001</v>
      </c>
      <c r="K1125" s="271">
        <f t="shared" si="54"/>
        <v>7498.0296751600008</v>
      </c>
      <c r="L1125" s="111"/>
      <c r="M1125" s="73"/>
      <c r="N1125" s="112"/>
      <c r="O1125" s="111"/>
      <c r="P1125" s="312">
        <v>0</v>
      </c>
      <c r="Q1125" s="288">
        <f t="shared" si="55"/>
        <v>0</v>
      </c>
      <c r="R1125" s="118">
        <v>0</v>
      </c>
      <c r="S1125" s="283">
        <v>2016</v>
      </c>
      <c r="T1125" s="288">
        <f t="shared" si="53"/>
        <v>8125</v>
      </c>
    </row>
    <row r="1126" spans="2:20">
      <c r="B1126" s="386" t="s">
        <v>1231</v>
      </c>
      <c r="C1126" s="114"/>
      <c r="D1126" s="111" t="s">
        <v>1547</v>
      </c>
      <c r="E1126" s="111" t="s">
        <v>1797</v>
      </c>
      <c r="F1126" s="111"/>
      <c r="G1126" s="110" t="s">
        <v>2073</v>
      </c>
      <c r="H1126" s="141">
        <v>476.14771000000002</v>
      </c>
      <c r="I1126" s="280"/>
      <c r="J1126" s="72">
        <v>148.52000000000001</v>
      </c>
      <c r="K1126" s="271">
        <f t="shared" si="54"/>
        <v>70717.457889200014</v>
      </c>
      <c r="L1126" s="111"/>
      <c r="M1126" s="73"/>
      <c r="N1126" s="112"/>
      <c r="O1126" s="111"/>
      <c r="P1126" s="312">
        <v>0</v>
      </c>
      <c r="Q1126" s="288">
        <f t="shared" si="55"/>
        <v>0</v>
      </c>
      <c r="R1126" s="118">
        <v>0</v>
      </c>
      <c r="S1126" s="283">
        <v>2016</v>
      </c>
      <c r="T1126" s="288">
        <f t="shared" si="53"/>
        <v>76629</v>
      </c>
    </row>
    <row r="1127" spans="2:20">
      <c r="B1127" s="386" t="s">
        <v>1232</v>
      </c>
      <c r="C1127" s="114"/>
      <c r="D1127" s="111" t="s">
        <v>1546</v>
      </c>
      <c r="E1127" s="111" t="s">
        <v>1938</v>
      </c>
      <c r="F1127" s="111"/>
      <c r="G1127" s="110" t="s">
        <v>2073</v>
      </c>
      <c r="H1127" s="141">
        <v>885.88992099999996</v>
      </c>
      <c r="I1127" s="280"/>
      <c r="J1127" s="72">
        <v>148.52000000000001</v>
      </c>
      <c r="K1127" s="271">
        <f t="shared" si="54"/>
        <v>131572.37106691999</v>
      </c>
      <c r="L1127" s="111"/>
      <c r="M1127" s="73"/>
      <c r="N1127" s="112"/>
      <c r="O1127" s="111"/>
      <c r="P1127" s="312">
        <v>0</v>
      </c>
      <c r="Q1127" s="288">
        <f t="shared" si="55"/>
        <v>0</v>
      </c>
      <c r="R1127" s="118">
        <v>0</v>
      </c>
      <c r="S1127" s="283">
        <v>2016</v>
      </c>
      <c r="T1127" s="288">
        <f t="shared" si="53"/>
        <v>142570</v>
      </c>
    </row>
    <row r="1128" spans="2:20">
      <c r="B1128" s="386" t="s">
        <v>1233</v>
      </c>
      <c r="C1128" s="114"/>
      <c r="D1128" s="111" t="s">
        <v>1546</v>
      </c>
      <c r="E1128" s="111" t="s">
        <v>1938</v>
      </c>
      <c r="F1128" s="111"/>
      <c r="G1128" s="110" t="s">
        <v>2073</v>
      </c>
      <c r="H1128" s="141">
        <v>4.0346000000000002</v>
      </c>
      <c r="I1128" s="280"/>
      <c r="J1128" s="72">
        <v>148.52000000000001</v>
      </c>
      <c r="K1128" s="271">
        <f t="shared" si="54"/>
        <v>599.21879200000012</v>
      </c>
      <c r="L1128" s="111"/>
      <c r="M1128" s="73"/>
      <c r="N1128" s="112"/>
      <c r="O1128" s="111"/>
      <c r="P1128" s="312">
        <v>0</v>
      </c>
      <c r="Q1128" s="288">
        <f t="shared" si="55"/>
        <v>0</v>
      </c>
      <c r="R1128" s="118">
        <v>0</v>
      </c>
      <c r="S1128" s="283">
        <v>2016</v>
      </c>
      <c r="T1128" s="288">
        <f t="shared" si="53"/>
        <v>649</v>
      </c>
    </row>
    <row r="1129" spans="2:20">
      <c r="B1129" s="386" t="s">
        <v>1234</v>
      </c>
      <c r="C1129" s="114"/>
      <c r="D1129" s="111" t="s">
        <v>1547</v>
      </c>
      <c r="E1129" s="111" t="s">
        <v>1938</v>
      </c>
      <c r="F1129" s="111"/>
      <c r="G1129" s="110" t="s">
        <v>2073</v>
      </c>
      <c r="H1129" s="141">
        <v>18.001189</v>
      </c>
      <c r="I1129" s="280"/>
      <c r="J1129" s="72">
        <v>148.52000000000001</v>
      </c>
      <c r="K1129" s="271">
        <f t="shared" si="54"/>
        <v>2673.5365902800004</v>
      </c>
      <c r="L1129" s="111"/>
      <c r="M1129" s="73"/>
      <c r="N1129" s="112"/>
      <c r="O1129" s="111"/>
      <c r="P1129" s="312">
        <v>0</v>
      </c>
      <c r="Q1129" s="288">
        <f t="shared" si="55"/>
        <v>0</v>
      </c>
      <c r="R1129" s="118">
        <v>0</v>
      </c>
      <c r="S1129" s="283">
        <v>2016</v>
      </c>
      <c r="T1129" s="288">
        <f t="shared" si="53"/>
        <v>2897</v>
      </c>
    </row>
    <row r="1130" spans="2:20">
      <c r="B1130" s="386" t="s">
        <v>1235</v>
      </c>
      <c r="C1130" s="114"/>
      <c r="D1130" s="111" t="s">
        <v>1546</v>
      </c>
      <c r="E1130" s="111" t="s">
        <v>1939</v>
      </c>
      <c r="F1130" s="111"/>
      <c r="G1130" s="110" t="s">
        <v>2073</v>
      </c>
      <c r="H1130" s="141">
        <v>98.255504999999999</v>
      </c>
      <c r="I1130" s="280"/>
      <c r="J1130" s="72">
        <v>148.52000000000001</v>
      </c>
      <c r="K1130" s="271">
        <f t="shared" si="54"/>
        <v>14592.9076026</v>
      </c>
      <c r="L1130" s="111"/>
      <c r="M1130" s="73"/>
      <c r="N1130" s="112"/>
      <c r="O1130" s="111"/>
      <c r="P1130" s="312">
        <v>0</v>
      </c>
      <c r="Q1130" s="288">
        <f t="shared" si="55"/>
        <v>0</v>
      </c>
      <c r="R1130" s="118">
        <v>0</v>
      </c>
      <c r="S1130" s="283">
        <v>2016</v>
      </c>
      <c r="T1130" s="288">
        <f t="shared" si="53"/>
        <v>15813</v>
      </c>
    </row>
    <row r="1131" spans="2:20">
      <c r="B1131" s="386" t="s">
        <v>1236</v>
      </c>
      <c r="C1131" s="114"/>
      <c r="D1131" s="111" t="s">
        <v>1546</v>
      </c>
      <c r="E1131" s="111" t="s">
        <v>1652</v>
      </c>
      <c r="F1131" s="111"/>
      <c r="G1131" s="110" t="s">
        <v>2073</v>
      </c>
      <c r="H1131" s="141">
        <v>34.906480999999999</v>
      </c>
      <c r="I1131" s="280"/>
      <c r="J1131" s="72">
        <v>148.52000000000001</v>
      </c>
      <c r="K1131" s="271">
        <f t="shared" si="54"/>
        <v>5184.3105581200007</v>
      </c>
      <c r="L1131" s="111"/>
      <c r="M1131" s="73"/>
      <c r="N1131" s="112"/>
      <c r="O1131" s="111"/>
      <c r="P1131" s="312">
        <v>0</v>
      </c>
      <c r="Q1131" s="288">
        <f t="shared" si="55"/>
        <v>0</v>
      </c>
      <c r="R1131" s="118">
        <v>0</v>
      </c>
      <c r="S1131" s="283">
        <v>2016</v>
      </c>
      <c r="T1131" s="288">
        <f t="shared" si="53"/>
        <v>5618</v>
      </c>
    </row>
    <row r="1132" spans="2:20">
      <c r="B1132" s="386" t="s">
        <v>1237</v>
      </c>
      <c r="C1132" s="114"/>
      <c r="D1132" s="111" t="s">
        <v>1546</v>
      </c>
      <c r="E1132" s="111" t="s">
        <v>1940</v>
      </c>
      <c r="F1132" s="111"/>
      <c r="G1132" s="110" t="s">
        <v>2073</v>
      </c>
      <c r="H1132" s="141">
        <v>97.903136000000003</v>
      </c>
      <c r="I1132" s="280"/>
      <c r="J1132" s="72">
        <v>148.52000000000001</v>
      </c>
      <c r="K1132" s="271">
        <f t="shared" si="54"/>
        <v>14540.573758720002</v>
      </c>
      <c r="L1132" s="111"/>
      <c r="M1132" s="73"/>
      <c r="N1132" s="112"/>
      <c r="O1132" s="111"/>
      <c r="P1132" s="312">
        <v>0</v>
      </c>
      <c r="Q1132" s="288">
        <f t="shared" si="55"/>
        <v>0</v>
      </c>
      <c r="R1132" s="118">
        <v>0</v>
      </c>
      <c r="S1132" s="283">
        <v>2016</v>
      </c>
      <c r="T1132" s="288">
        <f t="shared" si="53"/>
        <v>15756</v>
      </c>
    </row>
    <row r="1133" spans="2:20">
      <c r="B1133" s="386" t="s">
        <v>1238</v>
      </c>
      <c r="C1133" s="114"/>
      <c r="D1133" s="111" t="s">
        <v>1546</v>
      </c>
      <c r="E1133" s="111" t="s">
        <v>1940</v>
      </c>
      <c r="F1133" s="111"/>
      <c r="G1133" s="110" t="s">
        <v>2073</v>
      </c>
      <c r="H1133" s="141">
        <v>662.03106500000001</v>
      </c>
      <c r="I1133" s="280"/>
      <c r="J1133" s="72">
        <v>148.52000000000001</v>
      </c>
      <c r="K1133" s="271">
        <f t="shared" si="54"/>
        <v>98324.853773800001</v>
      </c>
      <c r="L1133" s="111"/>
      <c r="M1133" s="73"/>
      <c r="N1133" s="112"/>
      <c r="O1133" s="111"/>
      <c r="P1133" s="312">
        <v>0</v>
      </c>
      <c r="Q1133" s="288">
        <f t="shared" si="55"/>
        <v>0</v>
      </c>
      <c r="R1133" s="118">
        <v>0</v>
      </c>
      <c r="S1133" s="283">
        <v>2016</v>
      </c>
      <c r="T1133" s="288">
        <f t="shared" si="53"/>
        <v>106544</v>
      </c>
    </row>
    <row r="1134" spans="2:20">
      <c r="B1134" s="386" t="s">
        <v>1239</v>
      </c>
      <c r="C1134" s="114"/>
      <c r="D1134" s="111" t="s">
        <v>1546</v>
      </c>
      <c r="E1134" s="111" t="s">
        <v>1940</v>
      </c>
      <c r="F1134" s="111"/>
      <c r="G1134" s="110" t="s">
        <v>2073</v>
      </c>
      <c r="H1134" s="141">
        <v>290.49267099999997</v>
      </c>
      <c r="I1134" s="280"/>
      <c r="J1134" s="72">
        <v>148.52000000000001</v>
      </c>
      <c r="K1134" s="271">
        <f t="shared" si="54"/>
        <v>43143.971496919999</v>
      </c>
      <c r="L1134" s="111"/>
      <c r="M1134" s="73"/>
      <c r="N1134" s="112"/>
      <c r="O1134" s="111"/>
      <c r="P1134" s="312">
        <v>0</v>
      </c>
      <c r="Q1134" s="288">
        <f t="shared" si="55"/>
        <v>0</v>
      </c>
      <c r="R1134" s="118">
        <v>0</v>
      </c>
      <c r="S1134" s="283">
        <v>2016</v>
      </c>
      <c r="T1134" s="288">
        <f t="shared" si="53"/>
        <v>46750</v>
      </c>
    </row>
    <row r="1135" spans="2:20">
      <c r="B1135" s="386" t="s">
        <v>1240</v>
      </c>
      <c r="C1135" s="114"/>
      <c r="D1135" s="111" t="s">
        <v>1547</v>
      </c>
      <c r="E1135" s="111" t="s">
        <v>1941</v>
      </c>
      <c r="F1135" s="111"/>
      <c r="G1135" s="110" t="s">
        <v>2073</v>
      </c>
      <c r="H1135" s="141">
        <v>96.299826999999993</v>
      </c>
      <c r="I1135" s="280"/>
      <c r="J1135" s="72">
        <v>148.52000000000001</v>
      </c>
      <c r="K1135" s="271">
        <f t="shared" si="54"/>
        <v>14302.45030604</v>
      </c>
      <c r="L1135" s="111"/>
      <c r="M1135" s="73"/>
      <c r="N1135" s="112"/>
      <c r="O1135" s="111"/>
      <c r="P1135" s="312">
        <v>0</v>
      </c>
      <c r="Q1135" s="288">
        <f t="shared" si="55"/>
        <v>0</v>
      </c>
      <c r="R1135" s="118">
        <v>0</v>
      </c>
      <c r="S1135" s="283">
        <v>2016</v>
      </c>
      <c r="T1135" s="288">
        <f t="shared" si="53"/>
        <v>15498</v>
      </c>
    </row>
    <row r="1136" spans="2:20">
      <c r="B1136" s="386" t="s">
        <v>1241</v>
      </c>
      <c r="C1136" s="114"/>
      <c r="D1136" s="111" t="s">
        <v>1547</v>
      </c>
      <c r="E1136" s="111" t="s">
        <v>1941</v>
      </c>
      <c r="F1136" s="111"/>
      <c r="G1136" s="110" t="s">
        <v>2073</v>
      </c>
      <c r="H1136" s="141">
        <v>87.669456999999994</v>
      </c>
      <c r="I1136" s="280"/>
      <c r="J1136" s="72">
        <v>148.52000000000001</v>
      </c>
      <c r="K1136" s="271">
        <f t="shared" si="54"/>
        <v>13020.66775364</v>
      </c>
      <c r="L1136" s="111"/>
      <c r="M1136" s="73"/>
      <c r="N1136" s="112"/>
      <c r="O1136" s="111"/>
      <c r="P1136" s="312">
        <v>0</v>
      </c>
      <c r="Q1136" s="288">
        <f t="shared" si="55"/>
        <v>0</v>
      </c>
      <c r="R1136" s="118">
        <v>0</v>
      </c>
      <c r="S1136" s="283">
        <v>2016</v>
      </c>
      <c r="T1136" s="288">
        <f t="shared" si="53"/>
        <v>14109</v>
      </c>
    </row>
    <row r="1137" spans="2:20">
      <c r="B1137" s="386" t="s">
        <v>1242</v>
      </c>
      <c r="C1137" s="114"/>
      <c r="D1137" s="111" t="s">
        <v>1547</v>
      </c>
      <c r="E1137" s="111" t="s">
        <v>1941</v>
      </c>
      <c r="F1137" s="111"/>
      <c r="G1137" s="110" t="s">
        <v>2073</v>
      </c>
      <c r="H1137" s="141">
        <v>139.770749</v>
      </c>
      <c r="I1137" s="280"/>
      <c r="J1137" s="72">
        <v>148.52000000000001</v>
      </c>
      <c r="K1137" s="271">
        <f t="shared" si="54"/>
        <v>20758.751641480001</v>
      </c>
      <c r="L1137" s="111"/>
      <c r="M1137" s="73"/>
      <c r="N1137" s="112"/>
      <c r="O1137" s="111"/>
      <c r="P1137" s="312">
        <v>0</v>
      </c>
      <c r="Q1137" s="288">
        <f t="shared" si="55"/>
        <v>0</v>
      </c>
      <c r="R1137" s="118">
        <v>0</v>
      </c>
      <c r="S1137" s="283">
        <v>2016</v>
      </c>
      <c r="T1137" s="288">
        <f t="shared" si="53"/>
        <v>22494</v>
      </c>
    </row>
    <row r="1138" spans="2:20">
      <c r="B1138" s="386" t="s">
        <v>1243</v>
      </c>
      <c r="C1138" s="114"/>
      <c r="D1138" s="111" t="s">
        <v>1547</v>
      </c>
      <c r="E1138" s="111" t="s">
        <v>1941</v>
      </c>
      <c r="F1138" s="111"/>
      <c r="G1138" s="110" t="s">
        <v>2073</v>
      </c>
      <c r="H1138" s="141">
        <v>186.202933</v>
      </c>
      <c r="I1138" s="280"/>
      <c r="J1138" s="72">
        <v>148.52000000000001</v>
      </c>
      <c r="K1138" s="271">
        <f t="shared" si="54"/>
        <v>27654.859609160001</v>
      </c>
      <c r="L1138" s="111"/>
      <c r="M1138" s="73"/>
      <c r="N1138" s="112"/>
      <c r="O1138" s="111"/>
      <c r="P1138" s="312">
        <v>0</v>
      </c>
      <c r="Q1138" s="288">
        <f t="shared" si="55"/>
        <v>0</v>
      </c>
      <c r="R1138" s="118">
        <v>0</v>
      </c>
      <c r="S1138" s="283">
        <v>2016</v>
      </c>
      <c r="T1138" s="288">
        <f t="shared" si="53"/>
        <v>29967</v>
      </c>
    </row>
    <row r="1139" spans="2:20">
      <c r="B1139" s="386" t="s">
        <v>1244</v>
      </c>
      <c r="C1139" s="114"/>
      <c r="D1139" s="111" t="s">
        <v>1546</v>
      </c>
      <c r="E1139" s="111" t="s">
        <v>1942</v>
      </c>
      <c r="F1139" s="111"/>
      <c r="G1139" s="110" t="s">
        <v>2073</v>
      </c>
      <c r="H1139" s="141">
        <v>113.89864900000001</v>
      </c>
      <c r="I1139" s="280"/>
      <c r="J1139" s="72">
        <v>148.52000000000001</v>
      </c>
      <c r="K1139" s="271">
        <f t="shared" si="54"/>
        <v>16916.227349480003</v>
      </c>
      <c r="L1139" s="111"/>
      <c r="M1139" s="73"/>
      <c r="N1139" s="112"/>
      <c r="O1139" s="111"/>
      <c r="P1139" s="312">
        <v>0</v>
      </c>
      <c r="Q1139" s="288">
        <f t="shared" si="55"/>
        <v>0</v>
      </c>
      <c r="R1139" s="118">
        <v>0</v>
      </c>
      <c r="S1139" s="283">
        <v>2016</v>
      </c>
      <c r="T1139" s="288">
        <f t="shared" si="53"/>
        <v>18330</v>
      </c>
    </row>
    <row r="1140" spans="2:20">
      <c r="B1140" s="386" t="s">
        <v>1245</v>
      </c>
      <c r="C1140" s="114"/>
      <c r="D1140" s="111" t="s">
        <v>1546</v>
      </c>
      <c r="E1140" s="111" t="s">
        <v>1942</v>
      </c>
      <c r="F1140" s="111"/>
      <c r="G1140" s="110" t="s">
        <v>2073</v>
      </c>
      <c r="H1140" s="141">
        <v>213.12117900000001</v>
      </c>
      <c r="I1140" s="280"/>
      <c r="J1140" s="72">
        <v>148.52000000000001</v>
      </c>
      <c r="K1140" s="271">
        <f t="shared" si="54"/>
        <v>31652.757505080004</v>
      </c>
      <c r="L1140" s="111"/>
      <c r="M1140" s="73"/>
      <c r="N1140" s="112"/>
      <c r="O1140" s="111"/>
      <c r="P1140" s="312">
        <v>0</v>
      </c>
      <c r="Q1140" s="288">
        <f t="shared" si="55"/>
        <v>0</v>
      </c>
      <c r="R1140" s="118">
        <v>0</v>
      </c>
      <c r="S1140" s="283">
        <v>2016</v>
      </c>
      <c r="T1140" s="288">
        <f t="shared" si="53"/>
        <v>34299</v>
      </c>
    </row>
    <row r="1141" spans="2:20">
      <c r="B1141" s="386" t="s">
        <v>1246</v>
      </c>
      <c r="C1141" s="114"/>
      <c r="D1141" s="111" t="s">
        <v>1547</v>
      </c>
      <c r="E1141" s="111" t="s">
        <v>1943</v>
      </c>
      <c r="F1141" s="111"/>
      <c r="G1141" s="110" t="s">
        <v>2073</v>
      </c>
      <c r="H1141" s="141">
        <v>1339.640339</v>
      </c>
      <c r="I1141" s="280"/>
      <c r="J1141" s="72">
        <v>148.52000000000001</v>
      </c>
      <c r="K1141" s="271">
        <f t="shared" si="54"/>
        <v>198963.38314828003</v>
      </c>
      <c r="L1141" s="111"/>
      <c r="M1141" s="73"/>
      <c r="N1141" s="112"/>
      <c r="O1141" s="111"/>
      <c r="P1141" s="312">
        <v>0</v>
      </c>
      <c r="Q1141" s="288">
        <f t="shared" si="55"/>
        <v>0</v>
      </c>
      <c r="R1141" s="118">
        <v>0</v>
      </c>
      <c r="S1141" s="283">
        <v>2016</v>
      </c>
      <c r="T1141" s="288">
        <f t="shared" si="53"/>
        <v>215595</v>
      </c>
    </row>
    <row r="1142" spans="2:20">
      <c r="B1142" s="386" t="s">
        <v>1247</v>
      </c>
      <c r="C1142" s="114"/>
      <c r="D1142" s="111" t="s">
        <v>1547</v>
      </c>
      <c r="E1142" s="111" t="s">
        <v>1944</v>
      </c>
      <c r="F1142" s="111"/>
      <c r="G1142" s="110" t="s">
        <v>2073</v>
      </c>
      <c r="H1142" s="141">
        <v>247.386245</v>
      </c>
      <c r="I1142" s="280"/>
      <c r="J1142" s="72">
        <v>148.52000000000001</v>
      </c>
      <c r="K1142" s="271">
        <f t="shared" si="54"/>
        <v>36741.805107400003</v>
      </c>
      <c r="L1142" s="111"/>
      <c r="M1142" s="73"/>
      <c r="N1142" s="112"/>
      <c r="O1142" s="111"/>
      <c r="P1142" s="312">
        <v>0</v>
      </c>
      <c r="Q1142" s="288">
        <f t="shared" si="55"/>
        <v>0</v>
      </c>
      <c r="R1142" s="118">
        <v>0</v>
      </c>
      <c r="S1142" s="283">
        <v>2016</v>
      </c>
      <c r="T1142" s="288">
        <f t="shared" si="53"/>
        <v>39813</v>
      </c>
    </row>
    <row r="1143" spans="2:20">
      <c r="B1143" s="386" t="s">
        <v>1248</v>
      </c>
      <c r="C1143" s="114"/>
      <c r="D1143" s="111" t="s">
        <v>1547</v>
      </c>
      <c r="E1143" s="111" t="s">
        <v>1945</v>
      </c>
      <c r="F1143" s="111"/>
      <c r="G1143" s="110" t="s">
        <v>2073</v>
      </c>
      <c r="H1143" s="141">
        <v>79.769724999999994</v>
      </c>
      <c r="I1143" s="280"/>
      <c r="J1143" s="72">
        <v>148.52000000000001</v>
      </c>
      <c r="K1143" s="271">
        <f t="shared" si="54"/>
        <v>11847.399557000001</v>
      </c>
      <c r="L1143" s="111"/>
      <c r="M1143" s="73"/>
      <c r="N1143" s="112"/>
      <c r="O1143" s="111"/>
      <c r="P1143" s="312">
        <v>0</v>
      </c>
      <c r="Q1143" s="288">
        <f t="shared" si="55"/>
        <v>0</v>
      </c>
      <c r="R1143" s="118">
        <v>0</v>
      </c>
      <c r="S1143" s="283">
        <v>2016</v>
      </c>
      <c r="T1143" s="288">
        <f t="shared" si="53"/>
        <v>12838</v>
      </c>
    </row>
    <row r="1144" spans="2:20">
      <c r="B1144" s="386" t="s">
        <v>1249</v>
      </c>
      <c r="C1144" s="114"/>
      <c r="D1144" s="111" t="s">
        <v>1546</v>
      </c>
      <c r="E1144" s="111" t="s">
        <v>1946</v>
      </c>
      <c r="F1144" s="111"/>
      <c r="G1144" s="110" t="s">
        <v>2073</v>
      </c>
      <c r="H1144" s="141">
        <v>9.0784219999999998</v>
      </c>
      <c r="I1144" s="280"/>
      <c r="J1144" s="72">
        <v>148.52000000000001</v>
      </c>
      <c r="K1144" s="271">
        <f t="shared" si="54"/>
        <v>1348.3272354400001</v>
      </c>
      <c r="L1144" s="111"/>
      <c r="M1144" s="73"/>
      <c r="N1144" s="112"/>
      <c r="O1144" s="111"/>
      <c r="P1144" s="312">
        <v>0</v>
      </c>
      <c r="Q1144" s="288">
        <f t="shared" si="55"/>
        <v>0</v>
      </c>
      <c r="R1144" s="118">
        <v>0</v>
      </c>
      <c r="S1144" s="283">
        <v>2016</v>
      </c>
      <c r="T1144" s="288">
        <f t="shared" si="53"/>
        <v>1461</v>
      </c>
    </row>
    <row r="1145" spans="2:20">
      <c r="B1145" s="386" t="s">
        <v>1250</v>
      </c>
      <c r="C1145" s="114"/>
      <c r="D1145" s="111" t="s">
        <v>1547</v>
      </c>
      <c r="E1145" s="111" t="s">
        <v>1947</v>
      </c>
      <c r="F1145" s="111"/>
      <c r="G1145" s="110" t="s">
        <v>2073</v>
      </c>
      <c r="H1145" s="141">
        <v>715.23352</v>
      </c>
      <c r="I1145" s="280"/>
      <c r="J1145" s="72">
        <v>148.52000000000001</v>
      </c>
      <c r="K1145" s="271">
        <f t="shared" si="54"/>
        <v>106226.48239040001</v>
      </c>
      <c r="L1145" s="111"/>
      <c r="M1145" s="73"/>
      <c r="N1145" s="112"/>
      <c r="O1145" s="111"/>
      <c r="P1145" s="312">
        <v>0</v>
      </c>
      <c r="Q1145" s="288">
        <f t="shared" si="55"/>
        <v>0</v>
      </c>
      <c r="R1145" s="118">
        <v>0</v>
      </c>
      <c r="S1145" s="283">
        <v>2016</v>
      </c>
      <c r="T1145" s="288">
        <f t="shared" si="53"/>
        <v>115106</v>
      </c>
    </row>
    <row r="1146" spans="2:20">
      <c r="B1146" s="386" t="s">
        <v>1251</v>
      </c>
      <c r="C1146" s="114"/>
      <c r="D1146" s="111" t="s">
        <v>1547</v>
      </c>
      <c r="E1146" s="111" t="s">
        <v>1948</v>
      </c>
      <c r="F1146" s="111"/>
      <c r="G1146" s="110" t="s">
        <v>2073</v>
      </c>
      <c r="H1146" s="141">
        <v>258.36023599999999</v>
      </c>
      <c r="I1146" s="280"/>
      <c r="J1146" s="72">
        <v>148.52000000000001</v>
      </c>
      <c r="K1146" s="271">
        <f t="shared" si="54"/>
        <v>38371.662250720001</v>
      </c>
      <c r="L1146" s="111"/>
      <c r="M1146" s="73"/>
      <c r="N1146" s="112"/>
      <c r="O1146" s="111"/>
      <c r="P1146" s="312">
        <v>0</v>
      </c>
      <c r="Q1146" s="288">
        <f t="shared" si="55"/>
        <v>0</v>
      </c>
      <c r="R1146" s="118">
        <v>0</v>
      </c>
      <c r="S1146" s="283">
        <v>2016</v>
      </c>
      <c r="T1146" s="288">
        <f t="shared" si="53"/>
        <v>41579</v>
      </c>
    </row>
    <row r="1147" spans="2:20">
      <c r="B1147" s="386" t="s">
        <v>1252</v>
      </c>
      <c r="C1147" s="114"/>
      <c r="D1147" s="111" t="s">
        <v>1547</v>
      </c>
      <c r="E1147" s="111" t="s">
        <v>1948</v>
      </c>
      <c r="F1147" s="111"/>
      <c r="G1147" s="110" t="s">
        <v>2073</v>
      </c>
      <c r="H1147" s="141">
        <v>11.232158</v>
      </c>
      <c r="I1147" s="280"/>
      <c r="J1147" s="72">
        <v>148.52000000000001</v>
      </c>
      <c r="K1147" s="271">
        <f t="shared" si="54"/>
        <v>1668.2001061600001</v>
      </c>
      <c r="L1147" s="111"/>
      <c r="M1147" s="73"/>
      <c r="N1147" s="112"/>
      <c r="O1147" s="111"/>
      <c r="P1147" s="312">
        <v>0</v>
      </c>
      <c r="Q1147" s="288">
        <f t="shared" si="55"/>
        <v>0</v>
      </c>
      <c r="R1147" s="118">
        <v>0</v>
      </c>
      <c r="S1147" s="283">
        <v>2016</v>
      </c>
      <c r="T1147" s="288">
        <f t="shared" si="53"/>
        <v>1808</v>
      </c>
    </row>
    <row r="1148" spans="2:20">
      <c r="B1148" s="386" t="s">
        <v>1253</v>
      </c>
      <c r="C1148" s="114"/>
      <c r="D1148" s="111" t="s">
        <v>1547</v>
      </c>
      <c r="E1148" s="111" t="s">
        <v>1948</v>
      </c>
      <c r="F1148" s="111"/>
      <c r="G1148" s="110" t="s">
        <v>2074</v>
      </c>
      <c r="H1148" s="141">
        <v>138.29487800000001</v>
      </c>
      <c r="I1148" s="280"/>
      <c r="J1148" s="72">
        <v>148.52000000000001</v>
      </c>
      <c r="K1148" s="271">
        <f t="shared" si="54"/>
        <v>20539.555280560002</v>
      </c>
      <c r="L1148" s="111"/>
      <c r="M1148" s="73"/>
      <c r="N1148" s="112"/>
      <c r="O1148" s="111"/>
      <c r="P1148" s="312">
        <v>0</v>
      </c>
      <c r="Q1148" s="288">
        <f t="shared" si="55"/>
        <v>0</v>
      </c>
      <c r="R1148" s="118">
        <v>0</v>
      </c>
      <c r="S1148" s="283">
        <v>2016</v>
      </c>
      <c r="T1148" s="288">
        <f t="shared" si="53"/>
        <v>22256</v>
      </c>
    </row>
    <row r="1149" spans="2:20">
      <c r="B1149" s="386" t="s">
        <v>1254</v>
      </c>
      <c r="C1149" s="114"/>
      <c r="D1149" s="111" t="s">
        <v>1547</v>
      </c>
      <c r="E1149" s="111" t="s">
        <v>1949</v>
      </c>
      <c r="F1149" s="111"/>
      <c r="G1149" s="110" t="s">
        <v>2073</v>
      </c>
      <c r="H1149" s="141">
        <v>198.919251</v>
      </c>
      <c r="I1149" s="280"/>
      <c r="J1149" s="72">
        <v>148.52000000000001</v>
      </c>
      <c r="K1149" s="271">
        <f t="shared" si="54"/>
        <v>29543.487158520002</v>
      </c>
      <c r="L1149" s="111"/>
      <c r="M1149" s="73"/>
      <c r="N1149" s="112"/>
      <c r="O1149" s="111"/>
      <c r="P1149" s="312">
        <v>0</v>
      </c>
      <c r="Q1149" s="288">
        <f t="shared" si="55"/>
        <v>0</v>
      </c>
      <c r="R1149" s="118">
        <v>0</v>
      </c>
      <c r="S1149" s="283">
        <v>2016</v>
      </c>
      <c r="T1149" s="288">
        <f t="shared" si="53"/>
        <v>32013</v>
      </c>
    </row>
    <row r="1150" spans="2:20">
      <c r="B1150" s="386" t="s">
        <v>1255</v>
      </c>
      <c r="C1150" s="114"/>
      <c r="D1150" s="111" t="s">
        <v>1547</v>
      </c>
      <c r="E1150" s="111" t="s">
        <v>1949</v>
      </c>
      <c r="F1150" s="111"/>
      <c r="G1150" s="110" t="s">
        <v>2073</v>
      </c>
      <c r="H1150" s="141">
        <v>265.66306500000002</v>
      </c>
      <c r="I1150" s="280"/>
      <c r="J1150" s="72">
        <v>148.52000000000001</v>
      </c>
      <c r="K1150" s="271">
        <f t="shared" si="54"/>
        <v>39456.278413800006</v>
      </c>
      <c r="L1150" s="111"/>
      <c r="M1150" s="73"/>
      <c r="N1150" s="112"/>
      <c r="O1150" s="111"/>
      <c r="P1150" s="312">
        <v>0</v>
      </c>
      <c r="Q1150" s="288">
        <f t="shared" si="55"/>
        <v>0</v>
      </c>
      <c r="R1150" s="118">
        <v>0</v>
      </c>
      <c r="S1150" s="283">
        <v>2016</v>
      </c>
      <c r="T1150" s="288">
        <f t="shared" si="53"/>
        <v>42754</v>
      </c>
    </row>
    <row r="1151" spans="2:20">
      <c r="B1151" s="386" t="s">
        <v>1256</v>
      </c>
      <c r="C1151" s="114"/>
      <c r="D1151" s="111" t="s">
        <v>1547</v>
      </c>
      <c r="E1151" s="111" t="s">
        <v>1950</v>
      </c>
      <c r="F1151" s="111"/>
      <c r="G1151" s="110" t="s">
        <v>2073</v>
      </c>
      <c r="H1151" s="141">
        <v>45.29016</v>
      </c>
      <c r="I1151" s="280"/>
      <c r="J1151" s="72">
        <v>148.52000000000001</v>
      </c>
      <c r="K1151" s="271">
        <f t="shared" si="54"/>
        <v>6726.4945632000008</v>
      </c>
      <c r="L1151" s="111"/>
      <c r="M1151" s="73"/>
      <c r="N1151" s="112"/>
      <c r="O1151" s="111"/>
      <c r="P1151" s="312">
        <v>0</v>
      </c>
      <c r="Q1151" s="288">
        <f t="shared" si="55"/>
        <v>0</v>
      </c>
      <c r="R1151" s="118">
        <v>0</v>
      </c>
      <c r="S1151" s="283">
        <v>2016</v>
      </c>
      <c r="T1151" s="288">
        <f t="shared" si="53"/>
        <v>7289</v>
      </c>
    </row>
    <row r="1152" spans="2:20">
      <c r="B1152" s="386" t="s">
        <v>1257</v>
      </c>
      <c r="C1152" s="114"/>
      <c r="D1152" s="111" t="s">
        <v>1547</v>
      </c>
      <c r="E1152" s="111" t="s">
        <v>1950</v>
      </c>
      <c r="F1152" s="111"/>
      <c r="G1152" s="110" t="s">
        <v>2073</v>
      </c>
      <c r="H1152" s="141">
        <v>26.698049000000001</v>
      </c>
      <c r="I1152" s="280"/>
      <c r="J1152" s="72">
        <v>148.52000000000001</v>
      </c>
      <c r="K1152" s="271">
        <f t="shared" si="54"/>
        <v>3965.1942374800005</v>
      </c>
      <c r="L1152" s="111"/>
      <c r="M1152" s="73"/>
      <c r="N1152" s="112"/>
      <c r="O1152" s="111"/>
      <c r="P1152" s="312">
        <v>0</v>
      </c>
      <c r="Q1152" s="288">
        <f t="shared" si="55"/>
        <v>0</v>
      </c>
      <c r="R1152" s="118">
        <v>0</v>
      </c>
      <c r="S1152" s="283">
        <v>2016</v>
      </c>
      <c r="T1152" s="288">
        <f t="shared" si="53"/>
        <v>4297</v>
      </c>
    </row>
    <row r="1153" spans="2:20">
      <c r="B1153" s="386" t="s">
        <v>1258</v>
      </c>
      <c r="C1153" s="114"/>
      <c r="D1153" s="111" t="s">
        <v>1547</v>
      </c>
      <c r="E1153" s="111" t="s">
        <v>1950</v>
      </c>
      <c r="F1153" s="111"/>
      <c r="G1153" s="110" t="s">
        <v>2073</v>
      </c>
      <c r="H1153" s="141">
        <v>966.10065199999997</v>
      </c>
      <c r="I1153" s="280"/>
      <c r="J1153" s="72">
        <v>148.52000000000001</v>
      </c>
      <c r="K1153" s="271">
        <f t="shared" si="54"/>
        <v>143485.26883504001</v>
      </c>
      <c r="L1153" s="111"/>
      <c r="M1153" s="73"/>
      <c r="N1153" s="112"/>
      <c r="O1153" s="111"/>
      <c r="P1153" s="312">
        <v>0</v>
      </c>
      <c r="Q1153" s="288">
        <f t="shared" si="55"/>
        <v>0</v>
      </c>
      <c r="R1153" s="118">
        <v>0</v>
      </c>
      <c r="S1153" s="283">
        <v>2016</v>
      </c>
      <c r="T1153" s="288">
        <f t="shared" si="53"/>
        <v>155479</v>
      </c>
    </row>
    <row r="1154" spans="2:20">
      <c r="B1154" s="386" t="s">
        <v>1259</v>
      </c>
      <c r="C1154" s="114"/>
      <c r="D1154" s="111" t="s">
        <v>1547</v>
      </c>
      <c r="E1154" s="111" t="s">
        <v>1950</v>
      </c>
      <c r="F1154" s="111"/>
      <c r="G1154" s="110" t="s">
        <v>2074</v>
      </c>
      <c r="H1154" s="141">
        <v>17.602502000000001</v>
      </c>
      <c r="I1154" s="280"/>
      <c r="J1154" s="72">
        <v>148.52000000000001</v>
      </c>
      <c r="K1154" s="271">
        <f t="shared" si="54"/>
        <v>2614.3235970400005</v>
      </c>
      <c r="L1154" s="111"/>
      <c r="M1154" s="73"/>
      <c r="N1154" s="112"/>
      <c r="O1154" s="111"/>
      <c r="P1154" s="312">
        <v>0</v>
      </c>
      <c r="Q1154" s="288">
        <f t="shared" si="55"/>
        <v>0</v>
      </c>
      <c r="R1154" s="118">
        <v>0</v>
      </c>
      <c r="S1154" s="283">
        <v>2016</v>
      </c>
      <c r="T1154" s="288">
        <f t="shared" si="53"/>
        <v>2833</v>
      </c>
    </row>
    <row r="1155" spans="2:20">
      <c r="B1155" s="386" t="s">
        <v>1260</v>
      </c>
      <c r="C1155" s="114"/>
      <c r="D1155" s="111" t="s">
        <v>1547</v>
      </c>
      <c r="E1155" s="111" t="s">
        <v>1951</v>
      </c>
      <c r="F1155" s="111"/>
      <c r="G1155" s="110" t="s">
        <v>2074</v>
      </c>
      <c r="H1155" s="141">
        <v>571.54072399999995</v>
      </c>
      <c r="I1155" s="280"/>
      <c r="J1155" s="72">
        <v>148.52000000000001</v>
      </c>
      <c r="K1155" s="271">
        <f t="shared" si="54"/>
        <v>84885.228328479992</v>
      </c>
      <c r="L1155" s="111"/>
      <c r="M1155" s="73"/>
      <c r="N1155" s="112"/>
      <c r="O1155" s="111"/>
      <c r="P1155" s="312">
        <v>0</v>
      </c>
      <c r="Q1155" s="288">
        <f t="shared" si="55"/>
        <v>0</v>
      </c>
      <c r="R1155" s="118">
        <v>0</v>
      </c>
      <c r="S1155" s="283">
        <v>2016</v>
      </c>
      <c r="T1155" s="288">
        <f t="shared" si="53"/>
        <v>91981</v>
      </c>
    </row>
    <row r="1156" spans="2:20">
      <c r="B1156" s="386" t="s">
        <v>1261</v>
      </c>
      <c r="C1156" s="114"/>
      <c r="D1156" s="111" t="s">
        <v>1547</v>
      </c>
      <c r="E1156" s="111" t="s">
        <v>1952</v>
      </c>
      <c r="F1156" s="111"/>
      <c r="G1156" s="110" t="s">
        <v>2073</v>
      </c>
      <c r="H1156" s="141">
        <v>768.30128100000002</v>
      </c>
      <c r="I1156" s="280"/>
      <c r="J1156" s="72">
        <v>148.52000000000001</v>
      </c>
      <c r="K1156" s="271">
        <f t="shared" si="54"/>
        <v>114108.10625412001</v>
      </c>
      <c r="L1156" s="111"/>
      <c r="M1156" s="73"/>
      <c r="N1156" s="112"/>
      <c r="O1156" s="111"/>
      <c r="P1156" s="312">
        <v>0</v>
      </c>
      <c r="Q1156" s="288">
        <f t="shared" si="55"/>
        <v>0</v>
      </c>
      <c r="R1156" s="118">
        <v>0</v>
      </c>
      <c r="S1156" s="283">
        <v>2016</v>
      </c>
      <c r="T1156" s="288">
        <f t="shared" si="53"/>
        <v>123646</v>
      </c>
    </row>
    <row r="1157" spans="2:20">
      <c r="B1157" s="386" t="s">
        <v>1262</v>
      </c>
      <c r="C1157" s="114"/>
      <c r="D1157" s="111" t="s">
        <v>1547</v>
      </c>
      <c r="E1157" s="111" t="s">
        <v>1953</v>
      </c>
      <c r="F1157" s="111"/>
      <c r="G1157" s="110" t="s">
        <v>2073</v>
      </c>
      <c r="H1157" s="141">
        <v>123.503022</v>
      </c>
      <c r="I1157" s="280"/>
      <c r="J1157" s="72">
        <v>148.52000000000001</v>
      </c>
      <c r="K1157" s="271">
        <f t="shared" si="54"/>
        <v>18342.66882744</v>
      </c>
      <c r="L1157" s="111"/>
      <c r="M1157" s="73"/>
      <c r="N1157" s="112"/>
      <c r="O1157" s="111"/>
      <c r="P1157" s="312">
        <v>1341.13842</v>
      </c>
      <c r="Q1157" s="288">
        <f t="shared" si="55"/>
        <v>56.506533531415798</v>
      </c>
      <c r="R1157" s="118">
        <v>75783.083100000003</v>
      </c>
      <c r="S1157" s="283">
        <v>2016</v>
      </c>
      <c r="T1157" s="288">
        <f t="shared" si="53"/>
        <v>102127</v>
      </c>
    </row>
    <row r="1158" spans="2:20">
      <c r="B1158" s="386" t="s">
        <v>1263</v>
      </c>
      <c r="C1158" s="114"/>
      <c r="D1158" s="111" t="s">
        <v>1547</v>
      </c>
      <c r="E1158" s="111" t="s">
        <v>1953</v>
      </c>
      <c r="F1158" s="111"/>
      <c r="G1158" s="110" t="s">
        <v>2073</v>
      </c>
      <c r="H1158" s="141">
        <v>440.84455600000001</v>
      </c>
      <c r="I1158" s="280"/>
      <c r="J1158" s="72">
        <v>148.52000000000001</v>
      </c>
      <c r="K1158" s="271">
        <f t="shared" si="54"/>
        <v>65474.233457120004</v>
      </c>
      <c r="L1158" s="111"/>
      <c r="M1158" s="73"/>
      <c r="N1158" s="112"/>
      <c r="O1158" s="111"/>
      <c r="P1158" s="312">
        <v>0</v>
      </c>
      <c r="Q1158" s="288">
        <f t="shared" si="55"/>
        <v>0</v>
      </c>
      <c r="R1158" s="118">
        <v>0</v>
      </c>
      <c r="S1158" s="283">
        <v>2016</v>
      </c>
      <c r="T1158" s="288">
        <f t="shared" si="53"/>
        <v>70947</v>
      </c>
    </row>
    <row r="1159" spans="2:20">
      <c r="B1159" s="386" t="s">
        <v>1264</v>
      </c>
      <c r="C1159" s="114"/>
      <c r="D1159" s="111" t="s">
        <v>1546</v>
      </c>
      <c r="E1159" s="111" t="s">
        <v>1954</v>
      </c>
      <c r="F1159" s="111"/>
      <c r="G1159" s="110" t="s">
        <v>2073</v>
      </c>
      <c r="H1159" s="141">
        <v>166.113136</v>
      </c>
      <c r="I1159" s="280"/>
      <c r="J1159" s="72">
        <v>148.52000000000001</v>
      </c>
      <c r="K1159" s="271">
        <f t="shared" si="54"/>
        <v>24671.12295872</v>
      </c>
      <c r="L1159" s="111"/>
      <c r="M1159" s="73"/>
      <c r="N1159" s="112"/>
      <c r="O1159" s="111"/>
      <c r="P1159" s="312">
        <v>0</v>
      </c>
      <c r="Q1159" s="288">
        <f t="shared" si="55"/>
        <v>0</v>
      </c>
      <c r="R1159" s="118">
        <v>0</v>
      </c>
      <c r="S1159" s="283">
        <v>2016</v>
      </c>
      <c r="T1159" s="288">
        <f t="shared" si="53"/>
        <v>26733</v>
      </c>
    </row>
    <row r="1160" spans="2:20">
      <c r="B1160" s="386" t="s">
        <v>1265</v>
      </c>
      <c r="C1160" s="114"/>
      <c r="D1160" s="111" t="s">
        <v>1546</v>
      </c>
      <c r="E1160" s="111" t="s">
        <v>1954</v>
      </c>
      <c r="F1160" s="111"/>
      <c r="G1160" s="110" t="s">
        <v>2073</v>
      </c>
      <c r="H1160" s="141">
        <v>375.53715799999998</v>
      </c>
      <c r="I1160" s="280"/>
      <c r="J1160" s="72">
        <v>148.52000000000001</v>
      </c>
      <c r="K1160" s="271">
        <f t="shared" si="54"/>
        <v>55774.778706160003</v>
      </c>
      <c r="L1160" s="111"/>
      <c r="M1160" s="73"/>
      <c r="N1160" s="112"/>
      <c r="O1160" s="111"/>
      <c r="P1160" s="312">
        <v>0</v>
      </c>
      <c r="Q1160" s="288">
        <f t="shared" si="55"/>
        <v>0</v>
      </c>
      <c r="R1160" s="118">
        <v>0</v>
      </c>
      <c r="S1160" s="283">
        <v>2016</v>
      </c>
      <c r="T1160" s="288">
        <f t="shared" si="53"/>
        <v>60437</v>
      </c>
    </row>
    <row r="1161" spans="2:20">
      <c r="B1161" s="386" t="s">
        <v>1266</v>
      </c>
      <c r="C1161" s="114"/>
      <c r="D1161" s="111" t="s">
        <v>1547</v>
      </c>
      <c r="E1161" s="111" t="s">
        <v>1955</v>
      </c>
      <c r="F1161" s="111"/>
      <c r="G1161" s="110" t="s">
        <v>2073</v>
      </c>
      <c r="H1161" s="141">
        <v>728.93044499999996</v>
      </c>
      <c r="I1161" s="280"/>
      <c r="J1161" s="72">
        <v>148.52000000000001</v>
      </c>
      <c r="K1161" s="271">
        <f t="shared" si="54"/>
        <v>108260.74969140001</v>
      </c>
      <c r="L1161" s="111"/>
      <c r="M1161" s="73"/>
      <c r="N1161" s="112"/>
      <c r="O1161" s="111"/>
      <c r="P1161" s="312">
        <v>0</v>
      </c>
      <c r="Q1161" s="288">
        <f t="shared" si="55"/>
        <v>0</v>
      </c>
      <c r="R1161" s="118">
        <v>0</v>
      </c>
      <c r="S1161" s="283">
        <v>2016</v>
      </c>
      <c r="T1161" s="288">
        <f t="shared" si="53"/>
        <v>117310</v>
      </c>
    </row>
    <row r="1162" spans="2:20">
      <c r="B1162" s="386" t="s">
        <v>1267</v>
      </c>
      <c r="C1162" s="114"/>
      <c r="D1162" s="111" t="s">
        <v>1547</v>
      </c>
      <c r="E1162" s="111" t="s">
        <v>1955</v>
      </c>
      <c r="F1162" s="111"/>
      <c r="G1162" s="110" t="s">
        <v>2073</v>
      </c>
      <c r="H1162" s="141">
        <v>1291.9844880000001</v>
      </c>
      <c r="I1162" s="280"/>
      <c r="J1162" s="72">
        <v>148.52000000000001</v>
      </c>
      <c r="K1162" s="271">
        <f t="shared" si="54"/>
        <v>191885.53615776001</v>
      </c>
      <c r="L1162" s="111"/>
      <c r="M1162" s="73"/>
      <c r="N1162" s="112"/>
      <c r="O1162" s="111"/>
      <c r="P1162" s="312">
        <v>0</v>
      </c>
      <c r="Q1162" s="288">
        <f t="shared" si="55"/>
        <v>0</v>
      </c>
      <c r="R1162" s="118">
        <v>0</v>
      </c>
      <c r="S1162" s="283">
        <v>2016</v>
      </c>
      <c r="T1162" s="288">
        <f t="shared" si="53"/>
        <v>207925</v>
      </c>
    </row>
    <row r="1163" spans="2:20">
      <c r="B1163" s="386" t="s">
        <v>1268</v>
      </c>
      <c r="C1163" s="114"/>
      <c r="D1163" s="111" t="s">
        <v>1546</v>
      </c>
      <c r="E1163" s="111" t="s">
        <v>1956</v>
      </c>
      <c r="F1163" s="111"/>
      <c r="G1163" s="110" t="s">
        <v>2073</v>
      </c>
      <c r="H1163" s="141">
        <v>688.48503400000004</v>
      </c>
      <c r="I1163" s="280"/>
      <c r="J1163" s="72">
        <v>148.52000000000001</v>
      </c>
      <c r="K1163" s="271">
        <f t="shared" si="54"/>
        <v>102253.79724968001</v>
      </c>
      <c r="L1163" s="111"/>
      <c r="M1163" s="73"/>
      <c r="N1163" s="112"/>
      <c r="O1163" s="111"/>
      <c r="P1163" s="312">
        <v>0</v>
      </c>
      <c r="Q1163" s="288">
        <f t="shared" si="55"/>
        <v>0</v>
      </c>
      <c r="R1163" s="118">
        <v>0</v>
      </c>
      <c r="S1163" s="283">
        <v>2016</v>
      </c>
      <c r="T1163" s="288">
        <f t="shared" si="53"/>
        <v>110801</v>
      </c>
    </row>
    <row r="1164" spans="2:20">
      <c r="B1164" s="386" t="s">
        <v>1269</v>
      </c>
      <c r="C1164" s="114"/>
      <c r="D1164" s="111" t="s">
        <v>1546</v>
      </c>
      <c r="E1164" s="111" t="s">
        <v>1957</v>
      </c>
      <c r="F1164" s="111"/>
      <c r="G1164" s="110" t="s">
        <v>2073</v>
      </c>
      <c r="H1164" s="141">
        <v>246.49942799999999</v>
      </c>
      <c r="I1164" s="280"/>
      <c r="J1164" s="72">
        <v>148.52000000000001</v>
      </c>
      <c r="K1164" s="271">
        <f t="shared" si="54"/>
        <v>36610.095046560004</v>
      </c>
      <c r="L1164" s="111"/>
      <c r="M1164" s="73"/>
      <c r="N1164" s="112"/>
      <c r="O1164" s="111"/>
      <c r="P1164" s="312">
        <v>0</v>
      </c>
      <c r="Q1164" s="288">
        <f t="shared" si="55"/>
        <v>0</v>
      </c>
      <c r="R1164" s="118">
        <v>0</v>
      </c>
      <c r="S1164" s="283">
        <v>2016</v>
      </c>
      <c r="T1164" s="288">
        <f t="shared" si="53"/>
        <v>39670</v>
      </c>
    </row>
    <row r="1165" spans="2:20">
      <c r="B1165" s="386" t="s">
        <v>1270</v>
      </c>
      <c r="C1165" s="114"/>
      <c r="D1165" s="111" t="s">
        <v>1547</v>
      </c>
      <c r="E1165" s="111" t="s">
        <v>1958</v>
      </c>
      <c r="F1165" s="111"/>
      <c r="G1165" s="110" t="s">
        <v>2073</v>
      </c>
      <c r="H1165" s="141">
        <v>132.687397</v>
      </c>
      <c r="I1165" s="280"/>
      <c r="J1165" s="72">
        <v>148.52000000000001</v>
      </c>
      <c r="K1165" s="271">
        <f t="shared" si="54"/>
        <v>19706.732202440002</v>
      </c>
      <c r="L1165" s="111"/>
      <c r="M1165" s="73"/>
      <c r="N1165" s="112"/>
      <c r="O1165" s="111"/>
      <c r="P1165" s="312">
        <v>0</v>
      </c>
      <c r="Q1165" s="288">
        <f t="shared" si="55"/>
        <v>0</v>
      </c>
      <c r="R1165" s="118">
        <v>0</v>
      </c>
      <c r="S1165" s="283">
        <v>2016</v>
      </c>
      <c r="T1165" s="288">
        <f t="shared" ref="T1165:T1228" si="56">IFERROR(ROUND((K1165*(1+PPI_Existing)^(YEAR-S1165))+(R1165*((1+LandInd_Existing)^(YEAR-S1165))),0),0)</f>
        <v>21354</v>
      </c>
    </row>
    <row r="1166" spans="2:20">
      <c r="B1166" s="386" t="s">
        <v>1271</v>
      </c>
      <c r="C1166" s="114"/>
      <c r="D1166" s="111" t="s">
        <v>1546</v>
      </c>
      <c r="E1166" s="111" t="s">
        <v>1959</v>
      </c>
      <c r="F1166" s="111"/>
      <c r="G1166" s="110" t="s">
        <v>2073</v>
      </c>
      <c r="H1166" s="141">
        <v>204.727183</v>
      </c>
      <c r="I1166" s="280"/>
      <c r="J1166" s="72">
        <v>148.52000000000001</v>
      </c>
      <c r="K1166" s="271">
        <f t="shared" si="54"/>
        <v>30406.081219160002</v>
      </c>
      <c r="L1166" s="111"/>
      <c r="M1166" s="73"/>
      <c r="N1166" s="112"/>
      <c r="O1166" s="111"/>
      <c r="P1166" s="312">
        <v>0</v>
      </c>
      <c r="Q1166" s="288">
        <f t="shared" si="55"/>
        <v>0</v>
      </c>
      <c r="R1166" s="118">
        <v>0</v>
      </c>
      <c r="S1166" s="283">
        <v>2016</v>
      </c>
      <c r="T1166" s="288">
        <f t="shared" si="56"/>
        <v>32948</v>
      </c>
    </row>
    <row r="1167" spans="2:20">
      <c r="B1167" s="386" t="s">
        <v>1272</v>
      </c>
      <c r="C1167" s="114"/>
      <c r="D1167" s="111" t="s">
        <v>1547</v>
      </c>
      <c r="E1167" s="111" t="s">
        <v>1960</v>
      </c>
      <c r="F1167" s="111"/>
      <c r="G1167" s="110" t="s">
        <v>2073</v>
      </c>
      <c r="H1167" s="141">
        <v>76.694400999999999</v>
      </c>
      <c r="I1167" s="280"/>
      <c r="J1167" s="72">
        <v>148.52000000000001</v>
      </c>
      <c r="K1167" s="271">
        <f t="shared" si="54"/>
        <v>11390.65243652</v>
      </c>
      <c r="L1167" s="111"/>
      <c r="M1167" s="73"/>
      <c r="N1167" s="112"/>
      <c r="O1167" s="111"/>
      <c r="P1167" s="312">
        <v>0</v>
      </c>
      <c r="Q1167" s="288">
        <f t="shared" si="55"/>
        <v>0</v>
      </c>
      <c r="R1167" s="118">
        <v>0</v>
      </c>
      <c r="S1167" s="283">
        <v>2016</v>
      </c>
      <c r="T1167" s="288">
        <f t="shared" si="56"/>
        <v>12343</v>
      </c>
    </row>
    <row r="1168" spans="2:20">
      <c r="B1168" s="386" t="s">
        <v>1273</v>
      </c>
      <c r="C1168" s="114"/>
      <c r="D1168" s="111" t="s">
        <v>1547</v>
      </c>
      <c r="E1168" s="111" t="s">
        <v>1960</v>
      </c>
      <c r="F1168" s="111"/>
      <c r="G1168" s="110" t="s">
        <v>2073</v>
      </c>
      <c r="H1168" s="141">
        <v>557.19134799999995</v>
      </c>
      <c r="I1168" s="280"/>
      <c r="J1168" s="72">
        <v>148.52000000000001</v>
      </c>
      <c r="K1168" s="271">
        <f t="shared" si="54"/>
        <v>82754.05900496</v>
      </c>
      <c r="L1168" s="111"/>
      <c r="M1168" s="73"/>
      <c r="N1168" s="112"/>
      <c r="O1168" s="111"/>
      <c r="P1168" s="312">
        <v>0</v>
      </c>
      <c r="Q1168" s="288">
        <f t="shared" si="55"/>
        <v>0</v>
      </c>
      <c r="R1168" s="118">
        <v>0</v>
      </c>
      <c r="S1168" s="283">
        <v>2016</v>
      </c>
      <c r="T1168" s="288">
        <f t="shared" si="56"/>
        <v>89671</v>
      </c>
    </row>
    <row r="1169" spans="2:20">
      <c r="B1169" s="386" t="s">
        <v>1274</v>
      </c>
      <c r="C1169" s="114"/>
      <c r="D1169" s="111" t="s">
        <v>1547</v>
      </c>
      <c r="E1169" s="111" t="s">
        <v>1960</v>
      </c>
      <c r="F1169" s="111"/>
      <c r="G1169" s="110" t="s">
        <v>2073</v>
      </c>
      <c r="H1169" s="141">
        <v>766.41356699999994</v>
      </c>
      <c r="I1169" s="280"/>
      <c r="J1169" s="72">
        <v>148.52000000000001</v>
      </c>
      <c r="K1169" s="271">
        <f t="shared" si="54"/>
        <v>113827.74297084</v>
      </c>
      <c r="L1169" s="111"/>
      <c r="M1169" s="73"/>
      <c r="N1169" s="112"/>
      <c r="O1169" s="111"/>
      <c r="P1169" s="312">
        <v>0</v>
      </c>
      <c r="Q1169" s="288">
        <f t="shared" si="55"/>
        <v>0</v>
      </c>
      <c r="R1169" s="118">
        <v>0</v>
      </c>
      <c r="S1169" s="283">
        <v>2016</v>
      </c>
      <c r="T1169" s="288">
        <f t="shared" si="56"/>
        <v>123343</v>
      </c>
    </row>
    <row r="1170" spans="2:20">
      <c r="B1170" s="386" t="s">
        <v>1275</v>
      </c>
      <c r="C1170" s="114"/>
      <c r="D1170" s="111" t="s">
        <v>1547</v>
      </c>
      <c r="E1170" s="111" t="s">
        <v>1960</v>
      </c>
      <c r="F1170" s="111"/>
      <c r="G1170" s="110" t="s">
        <v>2073</v>
      </c>
      <c r="H1170" s="141">
        <v>323.66746999999998</v>
      </c>
      <c r="I1170" s="280"/>
      <c r="J1170" s="72">
        <v>148.52000000000001</v>
      </c>
      <c r="K1170" s="271">
        <f t="shared" si="54"/>
        <v>48071.0926444</v>
      </c>
      <c r="L1170" s="111"/>
      <c r="M1170" s="73"/>
      <c r="N1170" s="112"/>
      <c r="O1170" s="111"/>
      <c r="P1170" s="312">
        <v>0</v>
      </c>
      <c r="Q1170" s="288">
        <f t="shared" si="55"/>
        <v>0</v>
      </c>
      <c r="R1170" s="118">
        <v>0</v>
      </c>
      <c r="S1170" s="283">
        <v>2016</v>
      </c>
      <c r="T1170" s="288">
        <f t="shared" si="56"/>
        <v>52089</v>
      </c>
    </row>
    <row r="1171" spans="2:20">
      <c r="B1171" s="386" t="s">
        <v>1276</v>
      </c>
      <c r="C1171" s="114"/>
      <c r="D1171" s="111" t="s">
        <v>1547</v>
      </c>
      <c r="E1171" s="111" t="s">
        <v>1961</v>
      </c>
      <c r="F1171" s="111"/>
      <c r="G1171" s="110" t="s">
        <v>2073</v>
      </c>
      <c r="H1171" s="141">
        <v>88.805364999999995</v>
      </c>
      <c r="I1171" s="280"/>
      <c r="J1171" s="72">
        <v>148.52000000000001</v>
      </c>
      <c r="K1171" s="271">
        <f t="shared" si="54"/>
        <v>13189.372809799999</v>
      </c>
      <c r="L1171" s="111"/>
      <c r="M1171" s="73"/>
      <c r="N1171" s="112"/>
      <c r="O1171" s="111"/>
      <c r="P1171" s="312">
        <v>0</v>
      </c>
      <c r="Q1171" s="288">
        <f t="shared" si="55"/>
        <v>0</v>
      </c>
      <c r="R1171" s="118">
        <v>0</v>
      </c>
      <c r="S1171" s="283">
        <v>2016</v>
      </c>
      <c r="T1171" s="288">
        <f t="shared" si="56"/>
        <v>14292</v>
      </c>
    </row>
    <row r="1172" spans="2:20">
      <c r="B1172" s="386" t="s">
        <v>1277</v>
      </c>
      <c r="C1172" s="114"/>
      <c r="D1172" s="111" t="s">
        <v>1547</v>
      </c>
      <c r="E1172" s="111" t="s">
        <v>1962</v>
      </c>
      <c r="F1172" s="111"/>
      <c r="G1172" s="110" t="s">
        <v>2073</v>
      </c>
      <c r="H1172" s="141">
        <v>16.853618999999998</v>
      </c>
      <c r="I1172" s="280"/>
      <c r="J1172" s="72">
        <v>148.52000000000001</v>
      </c>
      <c r="K1172" s="271">
        <f t="shared" si="54"/>
        <v>2503.09949388</v>
      </c>
      <c r="L1172" s="111"/>
      <c r="M1172" s="73"/>
      <c r="N1172" s="112"/>
      <c r="O1172" s="111"/>
      <c r="P1172" s="312">
        <v>51.857183999999997</v>
      </c>
      <c r="Q1172" s="288">
        <f t="shared" si="55"/>
        <v>15.000000019283732</v>
      </c>
      <c r="R1172" s="118">
        <v>777.85776099999998</v>
      </c>
      <c r="S1172" s="283">
        <v>2016</v>
      </c>
      <c r="T1172" s="288">
        <f t="shared" si="56"/>
        <v>3557</v>
      </c>
    </row>
    <row r="1173" spans="2:20">
      <c r="B1173" s="386" t="s">
        <v>1278</v>
      </c>
      <c r="C1173" s="114"/>
      <c r="D1173" s="111" t="s">
        <v>1547</v>
      </c>
      <c r="E1173" s="111" t="s">
        <v>1963</v>
      </c>
      <c r="F1173" s="111"/>
      <c r="G1173" s="110" t="s">
        <v>2073</v>
      </c>
      <c r="H1173" s="141">
        <v>370.26514300000002</v>
      </c>
      <c r="I1173" s="280"/>
      <c r="J1173" s="72">
        <v>148.52000000000001</v>
      </c>
      <c r="K1173" s="271">
        <f t="shared" ref="K1173:K1235" si="57">J1173*H1173</f>
        <v>54991.779038360008</v>
      </c>
      <c r="L1173" s="111"/>
      <c r="M1173" s="73"/>
      <c r="N1173" s="112"/>
      <c r="O1173" s="111"/>
      <c r="P1173" s="312">
        <v>0</v>
      </c>
      <c r="Q1173" s="288">
        <f t="shared" ref="Q1173:Q1235" si="58">IFERROR(R1173/P1173,0)</f>
        <v>0</v>
      </c>
      <c r="R1173" s="118">
        <v>0</v>
      </c>
      <c r="S1173" s="283">
        <v>2016</v>
      </c>
      <c r="T1173" s="288">
        <f t="shared" si="56"/>
        <v>59589</v>
      </c>
    </row>
    <row r="1174" spans="2:20">
      <c r="B1174" s="386" t="s">
        <v>1279</v>
      </c>
      <c r="C1174" s="114"/>
      <c r="D1174" s="111" t="s">
        <v>1547</v>
      </c>
      <c r="E1174" s="111" t="s">
        <v>1964</v>
      </c>
      <c r="F1174" s="111"/>
      <c r="G1174" s="110" t="s">
        <v>2073</v>
      </c>
      <c r="H1174" s="141">
        <v>1028.11086</v>
      </c>
      <c r="I1174" s="280"/>
      <c r="J1174" s="72">
        <v>148.52000000000001</v>
      </c>
      <c r="K1174" s="271">
        <f t="shared" si="57"/>
        <v>152695.02492720002</v>
      </c>
      <c r="L1174" s="111"/>
      <c r="M1174" s="73"/>
      <c r="N1174" s="112"/>
      <c r="O1174" s="111"/>
      <c r="P1174" s="312">
        <v>0</v>
      </c>
      <c r="Q1174" s="288">
        <f t="shared" si="58"/>
        <v>0</v>
      </c>
      <c r="R1174" s="118">
        <v>0</v>
      </c>
      <c r="S1174" s="283">
        <v>2016</v>
      </c>
      <c r="T1174" s="288">
        <f t="shared" si="56"/>
        <v>165459</v>
      </c>
    </row>
    <row r="1175" spans="2:20">
      <c r="B1175" s="386" t="s">
        <v>1280</v>
      </c>
      <c r="C1175" s="114"/>
      <c r="D1175" s="111" t="s">
        <v>1547</v>
      </c>
      <c r="E1175" s="111" t="s">
        <v>1965</v>
      </c>
      <c r="F1175" s="111"/>
      <c r="G1175" s="110" t="s">
        <v>2074</v>
      </c>
      <c r="H1175" s="141">
        <v>481.63540699999999</v>
      </c>
      <c r="I1175" s="280"/>
      <c r="J1175" s="72">
        <v>148.52000000000001</v>
      </c>
      <c r="K1175" s="271">
        <f t="shared" si="57"/>
        <v>71532.490647640007</v>
      </c>
      <c r="L1175" s="111"/>
      <c r="M1175" s="73"/>
      <c r="N1175" s="112"/>
      <c r="O1175" s="111"/>
      <c r="P1175" s="312">
        <v>0</v>
      </c>
      <c r="Q1175" s="288">
        <f t="shared" si="58"/>
        <v>0</v>
      </c>
      <c r="R1175" s="118">
        <v>0</v>
      </c>
      <c r="S1175" s="283">
        <v>2016</v>
      </c>
      <c r="T1175" s="288">
        <f t="shared" si="56"/>
        <v>77512</v>
      </c>
    </row>
    <row r="1176" spans="2:20">
      <c r="B1176" s="386" t="s">
        <v>1281</v>
      </c>
      <c r="C1176" s="114"/>
      <c r="D1176" s="111" t="s">
        <v>1547</v>
      </c>
      <c r="E1176" s="111" t="s">
        <v>1965</v>
      </c>
      <c r="F1176" s="111"/>
      <c r="G1176" s="110" t="s">
        <v>2073</v>
      </c>
      <c r="H1176" s="141">
        <v>450.29775899999999</v>
      </c>
      <c r="I1176" s="280"/>
      <c r="J1176" s="72">
        <v>148.52000000000001</v>
      </c>
      <c r="K1176" s="271">
        <f t="shared" si="57"/>
        <v>66878.223166680007</v>
      </c>
      <c r="L1176" s="111"/>
      <c r="M1176" s="73"/>
      <c r="N1176" s="112"/>
      <c r="O1176" s="111"/>
      <c r="P1176" s="312">
        <v>0</v>
      </c>
      <c r="Q1176" s="288">
        <f t="shared" si="58"/>
        <v>0</v>
      </c>
      <c r="R1176" s="118">
        <v>0</v>
      </c>
      <c r="S1176" s="283">
        <v>2016</v>
      </c>
      <c r="T1176" s="288">
        <f t="shared" si="56"/>
        <v>72469</v>
      </c>
    </row>
    <row r="1177" spans="2:20">
      <c r="B1177" s="386" t="s">
        <v>1282</v>
      </c>
      <c r="C1177" s="114"/>
      <c r="D1177" s="111" t="s">
        <v>1547</v>
      </c>
      <c r="E1177" s="111" t="s">
        <v>1965</v>
      </c>
      <c r="F1177" s="111"/>
      <c r="G1177" s="110" t="s">
        <v>2074</v>
      </c>
      <c r="H1177" s="141">
        <v>680.15288599999997</v>
      </c>
      <c r="I1177" s="280"/>
      <c r="J1177" s="72">
        <v>148.52000000000001</v>
      </c>
      <c r="K1177" s="271">
        <f t="shared" si="57"/>
        <v>101016.30662872001</v>
      </c>
      <c r="L1177" s="111"/>
      <c r="M1177" s="73"/>
      <c r="N1177" s="112"/>
      <c r="O1177" s="111"/>
      <c r="P1177" s="312">
        <v>0</v>
      </c>
      <c r="Q1177" s="288">
        <f t="shared" si="58"/>
        <v>0</v>
      </c>
      <c r="R1177" s="118">
        <v>0</v>
      </c>
      <c r="S1177" s="283">
        <v>2016</v>
      </c>
      <c r="T1177" s="288">
        <f t="shared" si="56"/>
        <v>109460</v>
      </c>
    </row>
    <row r="1178" spans="2:20">
      <c r="B1178" s="386" t="s">
        <v>1283</v>
      </c>
      <c r="C1178" s="114"/>
      <c r="D1178" s="111" t="s">
        <v>1547</v>
      </c>
      <c r="E1178" s="111" t="s">
        <v>1965</v>
      </c>
      <c r="F1178" s="111"/>
      <c r="G1178" s="110" t="s">
        <v>2073</v>
      </c>
      <c r="H1178" s="141">
        <v>183.22081299999999</v>
      </c>
      <c r="I1178" s="280"/>
      <c r="J1178" s="72">
        <v>148.52000000000001</v>
      </c>
      <c r="K1178" s="271">
        <f t="shared" si="57"/>
        <v>27211.955146759999</v>
      </c>
      <c r="L1178" s="111"/>
      <c r="M1178" s="73"/>
      <c r="N1178" s="112"/>
      <c r="O1178" s="111"/>
      <c r="P1178" s="312">
        <v>0</v>
      </c>
      <c r="Q1178" s="288">
        <f t="shared" si="58"/>
        <v>0</v>
      </c>
      <c r="R1178" s="118">
        <v>0</v>
      </c>
      <c r="S1178" s="283">
        <v>2016</v>
      </c>
      <c r="T1178" s="288">
        <f t="shared" si="56"/>
        <v>29487</v>
      </c>
    </row>
    <row r="1179" spans="2:20">
      <c r="B1179" s="386" t="s">
        <v>1284</v>
      </c>
      <c r="C1179" s="114"/>
      <c r="D1179" s="111" t="s">
        <v>1547</v>
      </c>
      <c r="E1179" s="111" t="s">
        <v>1965</v>
      </c>
      <c r="F1179" s="111"/>
      <c r="G1179" s="110" t="s">
        <v>2073</v>
      </c>
      <c r="H1179" s="141">
        <v>474.007766</v>
      </c>
      <c r="I1179" s="280"/>
      <c r="J1179" s="72">
        <v>148.52000000000001</v>
      </c>
      <c r="K1179" s="271">
        <f t="shared" si="57"/>
        <v>70399.633406320005</v>
      </c>
      <c r="L1179" s="111"/>
      <c r="M1179" s="73"/>
      <c r="N1179" s="112"/>
      <c r="O1179" s="111"/>
      <c r="P1179" s="312">
        <v>0</v>
      </c>
      <c r="Q1179" s="288">
        <f t="shared" si="58"/>
        <v>0</v>
      </c>
      <c r="R1179" s="118">
        <v>0</v>
      </c>
      <c r="S1179" s="283">
        <v>2016</v>
      </c>
      <c r="T1179" s="288">
        <f t="shared" si="56"/>
        <v>76284</v>
      </c>
    </row>
    <row r="1180" spans="2:20">
      <c r="B1180" s="386" t="s">
        <v>1285</v>
      </c>
      <c r="C1180" s="114"/>
      <c r="D1180" s="111" t="s">
        <v>1547</v>
      </c>
      <c r="E1180" s="111" t="s">
        <v>1966</v>
      </c>
      <c r="F1180" s="111"/>
      <c r="G1180" s="110" t="s">
        <v>2073</v>
      </c>
      <c r="H1180" s="141">
        <v>609.91891999999996</v>
      </c>
      <c r="I1180" s="280"/>
      <c r="J1180" s="72">
        <v>148.52000000000001</v>
      </c>
      <c r="K1180" s="271">
        <f t="shared" si="57"/>
        <v>90585.157998399998</v>
      </c>
      <c r="L1180" s="111"/>
      <c r="M1180" s="73"/>
      <c r="N1180" s="112"/>
      <c r="O1180" s="111"/>
      <c r="P1180" s="312">
        <v>0</v>
      </c>
      <c r="Q1180" s="288">
        <f t="shared" si="58"/>
        <v>0</v>
      </c>
      <c r="R1180" s="118">
        <v>0</v>
      </c>
      <c r="S1180" s="283">
        <v>2016</v>
      </c>
      <c r="T1180" s="288">
        <f t="shared" si="56"/>
        <v>98157</v>
      </c>
    </row>
    <row r="1181" spans="2:20">
      <c r="B1181" s="386" t="s">
        <v>1286</v>
      </c>
      <c r="C1181" s="114"/>
      <c r="D1181" s="111" t="s">
        <v>1547</v>
      </c>
      <c r="E1181" s="111" t="s">
        <v>1967</v>
      </c>
      <c r="F1181" s="111"/>
      <c r="G1181" s="110" t="s">
        <v>2073</v>
      </c>
      <c r="H1181" s="141">
        <v>621.48062600000003</v>
      </c>
      <c r="I1181" s="280"/>
      <c r="J1181" s="72">
        <v>148.52000000000001</v>
      </c>
      <c r="K1181" s="271">
        <f t="shared" si="57"/>
        <v>92302.302573520006</v>
      </c>
      <c r="L1181" s="111"/>
      <c r="M1181" s="73"/>
      <c r="N1181" s="112"/>
      <c r="O1181" s="111"/>
      <c r="P1181" s="312">
        <v>0</v>
      </c>
      <c r="Q1181" s="288">
        <f t="shared" si="58"/>
        <v>0</v>
      </c>
      <c r="R1181" s="118">
        <v>0</v>
      </c>
      <c r="S1181" s="283">
        <v>2016</v>
      </c>
      <c r="T1181" s="288">
        <f t="shared" si="56"/>
        <v>100018</v>
      </c>
    </row>
    <row r="1182" spans="2:20">
      <c r="B1182" s="386" t="s">
        <v>1287</v>
      </c>
      <c r="C1182" s="114"/>
      <c r="D1182" s="111" t="s">
        <v>1547</v>
      </c>
      <c r="E1182" s="111" t="s">
        <v>1968</v>
      </c>
      <c r="F1182" s="111"/>
      <c r="G1182" s="110" t="s">
        <v>2073</v>
      </c>
      <c r="H1182" s="141">
        <v>260.08391599999999</v>
      </c>
      <c r="I1182" s="280"/>
      <c r="J1182" s="72">
        <v>148.52000000000001</v>
      </c>
      <c r="K1182" s="271">
        <f t="shared" si="57"/>
        <v>38627.663204320001</v>
      </c>
      <c r="L1182" s="111"/>
      <c r="M1182" s="73"/>
      <c r="N1182" s="112"/>
      <c r="O1182" s="111"/>
      <c r="P1182" s="312">
        <v>0</v>
      </c>
      <c r="Q1182" s="288">
        <f t="shared" si="58"/>
        <v>0</v>
      </c>
      <c r="R1182" s="118">
        <v>0</v>
      </c>
      <c r="S1182" s="283">
        <v>2016</v>
      </c>
      <c r="T1182" s="288">
        <f t="shared" si="56"/>
        <v>41857</v>
      </c>
    </row>
    <row r="1183" spans="2:20">
      <c r="B1183" s="386" t="s">
        <v>1288</v>
      </c>
      <c r="C1183" s="114"/>
      <c r="D1183" s="111" t="s">
        <v>1547</v>
      </c>
      <c r="E1183" s="111" t="s">
        <v>1969</v>
      </c>
      <c r="F1183" s="111"/>
      <c r="G1183" s="110" t="s">
        <v>2073</v>
      </c>
      <c r="H1183" s="141">
        <v>1376.5918509999999</v>
      </c>
      <c r="I1183" s="280"/>
      <c r="J1183" s="72">
        <v>148.52000000000001</v>
      </c>
      <c r="K1183" s="271">
        <f t="shared" si="57"/>
        <v>204451.42171051999</v>
      </c>
      <c r="L1183" s="111"/>
      <c r="M1183" s="73"/>
      <c r="N1183" s="112"/>
      <c r="O1183" s="111"/>
      <c r="P1183" s="312">
        <v>2.17907552</v>
      </c>
      <c r="Q1183" s="288">
        <f t="shared" si="58"/>
        <v>318.0000002937025</v>
      </c>
      <c r="R1183" s="118">
        <v>692.94601599999999</v>
      </c>
      <c r="S1183" s="283">
        <v>2016</v>
      </c>
      <c r="T1183" s="288">
        <f t="shared" si="56"/>
        <v>222294</v>
      </c>
    </row>
    <row r="1184" spans="2:20">
      <c r="B1184" s="386" t="s">
        <v>1289</v>
      </c>
      <c r="C1184" s="114"/>
      <c r="D1184" s="111" t="s">
        <v>1547</v>
      </c>
      <c r="E1184" s="111" t="s">
        <v>1970</v>
      </c>
      <c r="F1184" s="111"/>
      <c r="G1184" s="110" t="s">
        <v>2073</v>
      </c>
      <c r="H1184" s="141">
        <v>128.82559000000001</v>
      </c>
      <c r="I1184" s="280"/>
      <c r="J1184" s="72">
        <v>148.52000000000001</v>
      </c>
      <c r="K1184" s="271">
        <f t="shared" si="57"/>
        <v>19133.176626800003</v>
      </c>
      <c r="L1184" s="111"/>
      <c r="M1184" s="73"/>
      <c r="N1184" s="112"/>
      <c r="O1184" s="111"/>
      <c r="P1184" s="312">
        <v>0</v>
      </c>
      <c r="Q1184" s="288">
        <f t="shared" si="58"/>
        <v>0</v>
      </c>
      <c r="R1184" s="118">
        <v>0</v>
      </c>
      <c r="S1184" s="283">
        <v>2016</v>
      </c>
      <c r="T1184" s="288">
        <f t="shared" si="56"/>
        <v>20733</v>
      </c>
    </row>
    <row r="1185" spans="2:20">
      <c r="B1185" s="386" t="s">
        <v>1290</v>
      </c>
      <c r="C1185" s="114"/>
      <c r="D1185" s="111" t="s">
        <v>1547</v>
      </c>
      <c r="E1185" s="111" t="s">
        <v>1971</v>
      </c>
      <c r="F1185" s="111"/>
      <c r="G1185" s="110" t="s">
        <v>2073</v>
      </c>
      <c r="H1185" s="141">
        <v>1607.2355210000001</v>
      </c>
      <c r="I1185" s="280"/>
      <c r="J1185" s="72">
        <v>148.52000000000001</v>
      </c>
      <c r="K1185" s="271">
        <f t="shared" si="57"/>
        <v>238706.61957892001</v>
      </c>
      <c r="L1185" s="111"/>
      <c r="M1185" s="73"/>
      <c r="N1185" s="112"/>
      <c r="O1185" s="111"/>
      <c r="P1185" s="312">
        <v>0</v>
      </c>
      <c r="Q1185" s="288">
        <f t="shared" si="58"/>
        <v>0</v>
      </c>
      <c r="R1185" s="118">
        <v>0</v>
      </c>
      <c r="S1185" s="283">
        <v>2016</v>
      </c>
      <c r="T1185" s="288">
        <f t="shared" si="56"/>
        <v>258660</v>
      </c>
    </row>
    <row r="1186" spans="2:20">
      <c r="B1186" s="386" t="s">
        <v>1291</v>
      </c>
      <c r="C1186" s="114"/>
      <c r="D1186" s="111" t="s">
        <v>1547</v>
      </c>
      <c r="E1186" s="111" t="s">
        <v>1971</v>
      </c>
      <c r="F1186" s="111"/>
      <c r="G1186" s="110" t="s">
        <v>2073</v>
      </c>
      <c r="H1186" s="141">
        <v>29.0167</v>
      </c>
      <c r="I1186" s="280"/>
      <c r="J1186" s="72">
        <v>148.52000000000001</v>
      </c>
      <c r="K1186" s="271">
        <f t="shared" si="57"/>
        <v>4309.5602840000001</v>
      </c>
      <c r="L1186" s="111"/>
      <c r="M1186" s="73"/>
      <c r="N1186" s="112"/>
      <c r="O1186" s="111"/>
      <c r="P1186" s="312">
        <v>0</v>
      </c>
      <c r="Q1186" s="288">
        <f t="shared" si="58"/>
        <v>0</v>
      </c>
      <c r="R1186" s="118">
        <v>0</v>
      </c>
      <c r="S1186" s="283">
        <v>2016</v>
      </c>
      <c r="T1186" s="288">
        <f t="shared" si="56"/>
        <v>4670</v>
      </c>
    </row>
    <row r="1187" spans="2:20">
      <c r="B1187" s="386" t="s">
        <v>1292</v>
      </c>
      <c r="C1187" s="114"/>
      <c r="D1187" s="111" t="s">
        <v>1547</v>
      </c>
      <c r="E1187" s="111" t="s">
        <v>1972</v>
      </c>
      <c r="F1187" s="111"/>
      <c r="G1187" s="110" t="s">
        <v>2073</v>
      </c>
      <c r="H1187" s="141">
        <v>85.399467999999999</v>
      </c>
      <c r="I1187" s="280"/>
      <c r="J1187" s="72">
        <v>148.52000000000001</v>
      </c>
      <c r="K1187" s="271">
        <f t="shared" si="57"/>
        <v>12683.528987360001</v>
      </c>
      <c r="L1187" s="111"/>
      <c r="M1187" s="73"/>
      <c r="N1187" s="112"/>
      <c r="O1187" s="111"/>
      <c r="P1187" s="312">
        <v>0</v>
      </c>
      <c r="Q1187" s="288">
        <f t="shared" si="58"/>
        <v>0</v>
      </c>
      <c r="R1187" s="118">
        <v>0</v>
      </c>
      <c r="S1187" s="283">
        <v>2016</v>
      </c>
      <c r="T1187" s="288">
        <f t="shared" si="56"/>
        <v>13744</v>
      </c>
    </row>
    <row r="1188" spans="2:20">
      <c r="B1188" s="386" t="s">
        <v>1293</v>
      </c>
      <c r="C1188" s="114"/>
      <c r="D1188" s="111" t="s">
        <v>1547</v>
      </c>
      <c r="E1188" s="111" t="s">
        <v>1973</v>
      </c>
      <c r="F1188" s="111"/>
      <c r="G1188" s="110" t="s">
        <v>2073</v>
      </c>
      <c r="H1188" s="141">
        <v>413.18747999999999</v>
      </c>
      <c r="I1188" s="280"/>
      <c r="J1188" s="72">
        <v>148.52000000000001</v>
      </c>
      <c r="K1188" s="271">
        <f t="shared" si="57"/>
        <v>61366.604529600001</v>
      </c>
      <c r="L1188" s="111"/>
      <c r="M1188" s="73"/>
      <c r="N1188" s="112"/>
      <c r="O1188" s="111"/>
      <c r="P1188" s="312">
        <v>0</v>
      </c>
      <c r="Q1188" s="288">
        <f t="shared" si="58"/>
        <v>0</v>
      </c>
      <c r="R1188" s="118">
        <v>0</v>
      </c>
      <c r="S1188" s="283">
        <v>2016</v>
      </c>
      <c r="T1188" s="288">
        <f t="shared" si="56"/>
        <v>66496</v>
      </c>
    </row>
    <row r="1189" spans="2:20">
      <c r="B1189" s="386" t="s">
        <v>1294</v>
      </c>
      <c r="C1189" s="114"/>
      <c r="D1189" s="111" t="s">
        <v>1547</v>
      </c>
      <c r="E1189" s="111" t="s">
        <v>1973</v>
      </c>
      <c r="F1189" s="111"/>
      <c r="G1189" s="110" t="s">
        <v>2073</v>
      </c>
      <c r="H1189" s="141">
        <v>205.80465599999999</v>
      </c>
      <c r="I1189" s="280"/>
      <c r="J1189" s="72">
        <v>148.52000000000001</v>
      </c>
      <c r="K1189" s="271">
        <f t="shared" si="57"/>
        <v>30566.10750912</v>
      </c>
      <c r="L1189" s="111"/>
      <c r="M1189" s="73"/>
      <c r="N1189" s="112"/>
      <c r="O1189" s="111"/>
      <c r="P1189" s="312">
        <v>0</v>
      </c>
      <c r="Q1189" s="288">
        <f t="shared" si="58"/>
        <v>0</v>
      </c>
      <c r="R1189" s="118">
        <v>0</v>
      </c>
      <c r="S1189" s="283">
        <v>2016</v>
      </c>
      <c r="T1189" s="288">
        <f t="shared" si="56"/>
        <v>33121</v>
      </c>
    </row>
    <row r="1190" spans="2:20">
      <c r="B1190" s="386" t="s">
        <v>1295</v>
      </c>
      <c r="C1190" s="114"/>
      <c r="D1190" s="111" t="s">
        <v>1547</v>
      </c>
      <c r="E1190" s="111" t="s">
        <v>1974</v>
      </c>
      <c r="F1190" s="111"/>
      <c r="G1190" s="110" t="s">
        <v>2073</v>
      </c>
      <c r="H1190" s="141">
        <v>298.07077099999998</v>
      </c>
      <c r="I1190" s="280"/>
      <c r="J1190" s="72">
        <v>148.52000000000001</v>
      </c>
      <c r="K1190" s="271">
        <f t="shared" si="57"/>
        <v>44269.470908919997</v>
      </c>
      <c r="L1190" s="111"/>
      <c r="M1190" s="73"/>
      <c r="N1190" s="112"/>
      <c r="O1190" s="111"/>
      <c r="P1190" s="312">
        <v>0</v>
      </c>
      <c r="Q1190" s="288">
        <f t="shared" si="58"/>
        <v>0</v>
      </c>
      <c r="R1190" s="118">
        <v>0</v>
      </c>
      <c r="S1190" s="283">
        <v>2016</v>
      </c>
      <c r="T1190" s="288">
        <f t="shared" si="56"/>
        <v>47970</v>
      </c>
    </row>
    <row r="1191" spans="2:20">
      <c r="B1191" s="386" t="s">
        <v>1296</v>
      </c>
      <c r="C1191" s="114"/>
      <c r="D1191" s="111" t="s">
        <v>1547</v>
      </c>
      <c r="E1191" s="111" t="s">
        <v>1974</v>
      </c>
      <c r="F1191" s="111"/>
      <c r="G1191" s="110" t="s">
        <v>2073</v>
      </c>
      <c r="H1191" s="141">
        <v>114.147036</v>
      </c>
      <c r="I1191" s="280"/>
      <c r="J1191" s="72">
        <v>148.52000000000001</v>
      </c>
      <c r="K1191" s="271">
        <f t="shared" si="57"/>
        <v>16953.117786720002</v>
      </c>
      <c r="L1191" s="111"/>
      <c r="M1191" s="73"/>
      <c r="N1191" s="112"/>
      <c r="O1191" s="111"/>
      <c r="P1191" s="312">
        <v>0</v>
      </c>
      <c r="Q1191" s="288">
        <f t="shared" si="58"/>
        <v>0</v>
      </c>
      <c r="R1191" s="118">
        <v>0</v>
      </c>
      <c r="S1191" s="283">
        <v>2016</v>
      </c>
      <c r="T1191" s="288">
        <f t="shared" si="56"/>
        <v>18370</v>
      </c>
    </row>
    <row r="1192" spans="2:20">
      <c r="B1192" s="386" t="s">
        <v>1297</v>
      </c>
      <c r="C1192" s="114"/>
      <c r="D1192" s="111" t="s">
        <v>1547</v>
      </c>
      <c r="E1192" s="111" t="s">
        <v>1974</v>
      </c>
      <c r="F1192" s="111"/>
      <c r="G1192" s="110" t="s">
        <v>2073</v>
      </c>
      <c r="H1192" s="141">
        <v>57.491287999999997</v>
      </c>
      <c r="I1192" s="280"/>
      <c r="J1192" s="72">
        <v>148.52000000000001</v>
      </c>
      <c r="K1192" s="271">
        <f t="shared" si="57"/>
        <v>8538.6060937599996</v>
      </c>
      <c r="L1192" s="111"/>
      <c r="M1192" s="73"/>
      <c r="N1192" s="112"/>
      <c r="O1192" s="111"/>
      <c r="P1192" s="312">
        <v>0</v>
      </c>
      <c r="Q1192" s="288">
        <f t="shared" si="58"/>
        <v>0</v>
      </c>
      <c r="R1192" s="118">
        <v>0</v>
      </c>
      <c r="S1192" s="283">
        <v>2016</v>
      </c>
      <c r="T1192" s="288">
        <f t="shared" si="56"/>
        <v>9252</v>
      </c>
    </row>
    <row r="1193" spans="2:20">
      <c r="B1193" s="386" t="s">
        <v>1298</v>
      </c>
      <c r="C1193" s="114"/>
      <c r="D1193" s="111" t="s">
        <v>1547</v>
      </c>
      <c r="E1193" s="111" t="s">
        <v>1974</v>
      </c>
      <c r="F1193" s="111"/>
      <c r="G1193" s="110" t="s">
        <v>2073</v>
      </c>
      <c r="H1193" s="141">
        <v>60.181927000000002</v>
      </c>
      <c r="I1193" s="280"/>
      <c r="J1193" s="72">
        <v>148.52000000000001</v>
      </c>
      <c r="K1193" s="271">
        <f t="shared" si="57"/>
        <v>8938.2197980400015</v>
      </c>
      <c r="L1193" s="111"/>
      <c r="M1193" s="73"/>
      <c r="N1193" s="112"/>
      <c r="O1193" s="111"/>
      <c r="P1193" s="312">
        <v>0</v>
      </c>
      <c r="Q1193" s="288">
        <f t="shared" si="58"/>
        <v>0</v>
      </c>
      <c r="R1193" s="118">
        <v>0</v>
      </c>
      <c r="S1193" s="283">
        <v>2016</v>
      </c>
      <c r="T1193" s="288">
        <f t="shared" si="56"/>
        <v>9685</v>
      </c>
    </row>
    <row r="1194" spans="2:20">
      <c r="B1194" s="386" t="s">
        <v>1299</v>
      </c>
      <c r="C1194" s="114"/>
      <c r="D1194" s="111" t="s">
        <v>1547</v>
      </c>
      <c r="E1194" s="111" t="s">
        <v>1975</v>
      </c>
      <c r="F1194" s="111"/>
      <c r="G1194" s="110" t="s">
        <v>2073</v>
      </c>
      <c r="H1194" s="141">
        <v>268.74346600000001</v>
      </c>
      <c r="I1194" s="280"/>
      <c r="J1194" s="72">
        <v>148.52000000000001</v>
      </c>
      <c r="K1194" s="271">
        <f t="shared" si="57"/>
        <v>39913.779570320003</v>
      </c>
      <c r="L1194" s="111"/>
      <c r="M1194" s="73"/>
      <c r="N1194" s="112"/>
      <c r="O1194" s="111"/>
      <c r="P1194" s="312">
        <v>0</v>
      </c>
      <c r="Q1194" s="288">
        <f t="shared" si="58"/>
        <v>0</v>
      </c>
      <c r="R1194" s="118">
        <v>0</v>
      </c>
      <c r="S1194" s="283">
        <v>2016</v>
      </c>
      <c r="T1194" s="288">
        <f t="shared" si="56"/>
        <v>43250</v>
      </c>
    </row>
    <row r="1195" spans="2:20">
      <c r="B1195" s="386" t="s">
        <v>1300</v>
      </c>
      <c r="C1195" s="114"/>
      <c r="D1195" s="111" t="s">
        <v>1547</v>
      </c>
      <c r="E1195" s="111" t="s">
        <v>1976</v>
      </c>
      <c r="F1195" s="111"/>
      <c r="G1195" s="110" t="s">
        <v>2073</v>
      </c>
      <c r="H1195" s="141">
        <v>256.30449299999998</v>
      </c>
      <c r="I1195" s="280"/>
      <c r="J1195" s="72">
        <v>148.52000000000001</v>
      </c>
      <c r="K1195" s="271">
        <f t="shared" si="57"/>
        <v>38066.34330036</v>
      </c>
      <c r="L1195" s="111"/>
      <c r="M1195" s="73"/>
      <c r="N1195" s="112"/>
      <c r="O1195" s="111"/>
      <c r="P1195" s="312">
        <v>0</v>
      </c>
      <c r="Q1195" s="288">
        <f t="shared" si="58"/>
        <v>0</v>
      </c>
      <c r="R1195" s="118">
        <v>0</v>
      </c>
      <c r="S1195" s="283">
        <v>2016</v>
      </c>
      <c r="T1195" s="288">
        <f t="shared" si="56"/>
        <v>41248</v>
      </c>
    </row>
    <row r="1196" spans="2:20">
      <c r="B1196" s="386" t="s">
        <v>1301</v>
      </c>
      <c r="C1196" s="114"/>
      <c r="D1196" s="111" t="s">
        <v>1547</v>
      </c>
      <c r="E1196" s="111" t="s">
        <v>1976</v>
      </c>
      <c r="F1196" s="111"/>
      <c r="G1196" s="110" t="s">
        <v>2073</v>
      </c>
      <c r="H1196" s="141">
        <v>693.06513399999994</v>
      </c>
      <c r="I1196" s="280"/>
      <c r="J1196" s="72">
        <v>148.52000000000001</v>
      </c>
      <c r="K1196" s="271">
        <f t="shared" si="57"/>
        <v>102934.03370168</v>
      </c>
      <c r="L1196" s="111"/>
      <c r="M1196" s="73"/>
      <c r="N1196" s="112"/>
      <c r="O1196" s="111"/>
      <c r="P1196" s="312">
        <v>0</v>
      </c>
      <c r="Q1196" s="288">
        <f t="shared" si="58"/>
        <v>0</v>
      </c>
      <c r="R1196" s="118">
        <v>0</v>
      </c>
      <c r="S1196" s="283">
        <v>2016</v>
      </c>
      <c r="T1196" s="288">
        <f t="shared" si="56"/>
        <v>111538</v>
      </c>
    </row>
    <row r="1197" spans="2:20">
      <c r="B1197" s="386" t="s">
        <v>1302</v>
      </c>
      <c r="C1197" s="114"/>
      <c r="D1197" s="111" t="s">
        <v>1547</v>
      </c>
      <c r="E1197" s="111" t="s">
        <v>1976</v>
      </c>
      <c r="F1197" s="111"/>
      <c r="G1197" s="110" t="s">
        <v>2073</v>
      </c>
      <c r="H1197" s="141">
        <v>45.360506000000001</v>
      </c>
      <c r="I1197" s="280"/>
      <c r="J1197" s="72">
        <v>148.52000000000001</v>
      </c>
      <c r="K1197" s="271">
        <f t="shared" si="57"/>
        <v>6736.9423511200002</v>
      </c>
      <c r="L1197" s="111"/>
      <c r="M1197" s="73"/>
      <c r="N1197" s="112"/>
      <c r="O1197" s="111"/>
      <c r="P1197" s="312">
        <v>0</v>
      </c>
      <c r="Q1197" s="288">
        <f t="shared" si="58"/>
        <v>0</v>
      </c>
      <c r="R1197" s="118">
        <v>0</v>
      </c>
      <c r="S1197" s="283">
        <v>2016</v>
      </c>
      <c r="T1197" s="288">
        <f t="shared" si="56"/>
        <v>7300</v>
      </c>
    </row>
    <row r="1198" spans="2:20">
      <c r="B1198" s="386" t="s">
        <v>1303</v>
      </c>
      <c r="C1198" s="114"/>
      <c r="D1198" s="111" t="s">
        <v>1547</v>
      </c>
      <c r="E1198" s="111" t="s">
        <v>1976</v>
      </c>
      <c r="F1198" s="111"/>
      <c r="G1198" s="110" t="s">
        <v>2073</v>
      </c>
      <c r="H1198" s="141">
        <v>24.449589</v>
      </c>
      <c r="I1198" s="280"/>
      <c r="J1198" s="72">
        <v>148.52000000000001</v>
      </c>
      <c r="K1198" s="271">
        <f t="shared" si="57"/>
        <v>3631.2529582800003</v>
      </c>
      <c r="L1198" s="111"/>
      <c r="M1198" s="73"/>
      <c r="N1198" s="112"/>
      <c r="O1198" s="111"/>
      <c r="P1198" s="312">
        <v>0</v>
      </c>
      <c r="Q1198" s="288">
        <f t="shared" si="58"/>
        <v>0</v>
      </c>
      <c r="R1198" s="118">
        <v>0</v>
      </c>
      <c r="S1198" s="283">
        <v>2016</v>
      </c>
      <c r="T1198" s="288">
        <f t="shared" si="56"/>
        <v>3935</v>
      </c>
    </row>
    <row r="1199" spans="2:20">
      <c r="B1199" s="386" t="s">
        <v>1304</v>
      </c>
      <c r="C1199" s="114"/>
      <c r="D1199" s="111" t="s">
        <v>1547</v>
      </c>
      <c r="E1199" s="111" t="s">
        <v>1976</v>
      </c>
      <c r="F1199" s="111"/>
      <c r="G1199" s="110" t="s">
        <v>2073</v>
      </c>
      <c r="H1199" s="141">
        <v>355.72892100000001</v>
      </c>
      <c r="I1199" s="280"/>
      <c r="J1199" s="72">
        <v>148.52000000000001</v>
      </c>
      <c r="K1199" s="271">
        <f t="shared" si="57"/>
        <v>52832.859346920006</v>
      </c>
      <c r="L1199" s="111"/>
      <c r="M1199" s="73"/>
      <c r="N1199" s="112"/>
      <c r="O1199" s="111"/>
      <c r="P1199" s="312">
        <v>0</v>
      </c>
      <c r="Q1199" s="288">
        <f t="shared" si="58"/>
        <v>0</v>
      </c>
      <c r="R1199" s="118">
        <v>0</v>
      </c>
      <c r="S1199" s="283">
        <v>2016</v>
      </c>
      <c r="T1199" s="288">
        <f t="shared" si="56"/>
        <v>57249</v>
      </c>
    </row>
    <row r="1200" spans="2:20">
      <c r="B1200" s="386" t="s">
        <v>1305</v>
      </c>
      <c r="C1200" s="114"/>
      <c r="D1200" s="111" t="s">
        <v>1547</v>
      </c>
      <c r="E1200" s="111" t="s">
        <v>1977</v>
      </c>
      <c r="F1200" s="111"/>
      <c r="G1200" s="110" t="s">
        <v>2073</v>
      </c>
      <c r="H1200" s="141">
        <v>1067.1869509999999</v>
      </c>
      <c r="I1200" s="280"/>
      <c r="J1200" s="72">
        <v>148.52000000000001</v>
      </c>
      <c r="K1200" s="271">
        <f t="shared" si="57"/>
        <v>158498.60596252</v>
      </c>
      <c r="L1200" s="111"/>
      <c r="M1200" s="73"/>
      <c r="N1200" s="112"/>
      <c r="O1200" s="111"/>
      <c r="P1200" s="312">
        <v>0.57031390999999998</v>
      </c>
      <c r="Q1200" s="288">
        <f t="shared" si="58"/>
        <v>317.99999933370032</v>
      </c>
      <c r="R1200" s="118">
        <v>181.35982300000001</v>
      </c>
      <c r="S1200" s="283">
        <v>2016</v>
      </c>
      <c r="T1200" s="288">
        <f t="shared" si="56"/>
        <v>171944</v>
      </c>
    </row>
    <row r="1201" spans="2:20">
      <c r="B1201" s="386" t="s">
        <v>1306</v>
      </c>
      <c r="C1201" s="114"/>
      <c r="D1201" s="111" t="s">
        <v>1547</v>
      </c>
      <c r="E1201" s="111" t="s">
        <v>1977</v>
      </c>
      <c r="F1201" s="111"/>
      <c r="G1201" s="110" t="s">
        <v>2073</v>
      </c>
      <c r="H1201" s="141">
        <v>126.482358</v>
      </c>
      <c r="I1201" s="280"/>
      <c r="J1201" s="72">
        <v>148.52000000000001</v>
      </c>
      <c r="K1201" s="271">
        <f t="shared" si="57"/>
        <v>18785.159810160003</v>
      </c>
      <c r="L1201" s="111"/>
      <c r="M1201" s="73"/>
      <c r="N1201" s="112"/>
      <c r="O1201" s="111"/>
      <c r="P1201" s="312">
        <v>0</v>
      </c>
      <c r="Q1201" s="288">
        <f t="shared" si="58"/>
        <v>0</v>
      </c>
      <c r="R1201" s="118">
        <v>0</v>
      </c>
      <c r="S1201" s="283">
        <v>2016</v>
      </c>
      <c r="T1201" s="288">
        <f t="shared" si="56"/>
        <v>20355</v>
      </c>
    </row>
    <row r="1202" spans="2:20">
      <c r="B1202" s="386" t="s">
        <v>1307</v>
      </c>
      <c r="C1202" s="114"/>
      <c r="D1202" s="111" t="s">
        <v>1547</v>
      </c>
      <c r="E1202" s="111" t="s">
        <v>1978</v>
      </c>
      <c r="F1202" s="111"/>
      <c r="G1202" s="110" t="s">
        <v>2073</v>
      </c>
      <c r="H1202" s="141">
        <v>10.791142000000001</v>
      </c>
      <c r="I1202" s="280"/>
      <c r="J1202" s="72">
        <v>148.52000000000001</v>
      </c>
      <c r="K1202" s="271">
        <f t="shared" si="57"/>
        <v>1602.7004098400002</v>
      </c>
      <c r="L1202" s="111"/>
      <c r="M1202" s="73"/>
      <c r="N1202" s="112"/>
      <c r="O1202" s="111"/>
      <c r="P1202" s="312">
        <v>910.25182600000005</v>
      </c>
      <c r="Q1202" s="288">
        <f t="shared" si="58"/>
        <v>83.351226257248939</v>
      </c>
      <c r="R1202" s="118">
        <v>75870.605899999995</v>
      </c>
      <c r="S1202" s="283">
        <v>2016</v>
      </c>
      <c r="T1202" s="288">
        <f t="shared" si="56"/>
        <v>84083</v>
      </c>
    </row>
    <row r="1203" spans="2:20">
      <c r="B1203" s="386" t="s">
        <v>1308</v>
      </c>
      <c r="C1203" s="114"/>
      <c r="D1203" s="111" t="s">
        <v>1547</v>
      </c>
      <c r="E1203" s="111" t="s">
        <v>1978</v>
      </c>
      <c r="F1203" s="111"/>
      <c r="G1203" s="110" t="s">
        <v>2073</v>
      </c>
      <c r="H1203" s="141">
        <v>9.7004009999999994</v>
      </c>
      <c r="I1203" s="280"/>
      <c r="J1203" s="72">
        <v>148.52000000000001</v>
      </c>
      <c r="K1203" s="271">
        <f t="shared" si="57"/>
        <v>1440.7035565200001</v>
      </c>
      <c r="L1203" s="111"/>
      <c r="M1203" s="73"/>
      <c r="N1203" s="112"/>
      <c r="O1203" s="111"/>
      <c r="P1203" s="312">
        <v>0</v>
      </c>
      <c r="Q1203" s="288">
        <f t="shared" si="58"/>
        <v>0</v>
      </c>
      <c r="R1203" s="118">
        <v>0</v>
      </c>
      <c r="S1203" s="283">
        <v>2016</v>
      </c>
      <c r="T1203" s="288">
        <f t="shared" si="56"/>
        <v>1561</v>
      </c>
    </row>
    <row r="1204" spans="2:20">
      <c r="B1204" s="386" t="s">
        <v>1309</v>
      </c>
      <c r="C1204" s="114"/>
      <c r="D1204" s="111" t="s">
        <v>1547</v>
      </c>
      <c r="E1204" s="111" t="s">
        <v>1978</v>
      </c>
      <c r="F1204" s="111"/>
      <c r="G1204" s="110" t="s">
        <v>2073</v>
      </c>
      <c r="H1204" s="141">
        <v>66.939946000000006</v>
      </c>
      <c r="I1204" s="280"/>
      <c r="J1204" s="72">
        <v>148.52000000000001</v>
      </c>
      <c r="K1204" s="271">
        <f t="shared" si="57"/>
        <v>9941.9207799200012</v>
      </c>
      <c r="L1204" s="111"/>
      <c r="M1204" s="73"/>
      <c r="N1204" s="112"/>
      <c r="O1204" s="111"/>
      <c r="P1204" s="312">
        <v>0</v>
      </c>
      <c r="Q1204" s="288">
        <f t="shared" si="58"/>
        <v>0</v>
      </c>
      <c r="R1204" s="118">
        <v>0</v>
      </c>
      <c r="S1204" s="283">
        <v>2016</v>
      </c>
      <c r="T1204" s="288">
        <f t="shared" si="56"/>
        <v>10773</v>
      </c>
    </row>
    <row r="1205" spans="2:20">
      <c r="B1205" s="386" t="s">
        <v>1310</v>
      </c>
      <c r="C1205" s="114"/>
      <c r="D1205" s="111" t="s">
        <v>1547</v>
      </c>
      <c r="E1205" s="111" t="s">
        <v>1978</v>
      </c>
      <c r="F1205" s="111"/>
      <c r="G1205" s="110" t="s">
        <v>2074</v>
      </c>
      <c r="H1205" s="141">
        <v>256.851496</v>
      </c>
      <c r="I1205" s="280"/>
      <c r="J1205" s="72">
        <v>148.52000000000001</v>
      </c>
      <c r="K1205" s="271">
        <f t="shared" si="57"/>
        <v>38147.584185920001</v>
      </c>
      <c r="L1205" s="111"/>
      <c r="M1205" s="73"/>
      <c r="N1205" s="112"/>
      <c r="O1205" s="111"/>
      <c r="P1205" s="312">
        <v>0</v>
      </c>
      <c r="Q1205" s="288">
        <f t="shared" si="58"/>
        <v>0</v>
      </c>
      <c r="R1205" s="118">
        <v>0</v>
      </c>
      <c r="S1205" s="283">
        <v>2016</v>
      </c>
      <c r="T1205" s="288">
        <f t="shared" si="56"/>
        <v>41336</v>
      </c>
    </row>
    <row r="1206" spans="2:20">
      <c r="B1206" s="386" t="s">
        <v>1311</v>
      </c>
      <c r="C1206" s="114"/>
      <c r="D1206" s="111" t="s">
        <v>1546</v>
      </c>
      <c r="E1206" s="111" t="s">
        <v>1859</v>
      </c>
      <c r="F1206" s="111"/>
      <c r="G1206" s="110" t="s">
        <v>2073</v>
      </c>
      <c r="H1206" s="141">
        <v>226.33976899999999</v>
      </c>
      <c r="I1206" s="280"/>
      <c r="J1206" s="72">
        <v>148.52000000000001</v>
      </c>
      <c r="K1206" s="271">
        <f t="shared" si="57"/>
        <v>33615.98249188</v>
      </c>
      <c r="L1206" s="111"/>
      <c r="M1206" s="73"/>
      <c r="N1206" s="112"/>
      <c r="O1206" s="111"/>
      <c r="P1206" s="312">
        <v>0</v>
      </c>
      <c r="Q1206" s="288">
        <f t="shared" si="58"/>
        <v>0</v>
      </c>
      <c r="R1206" s="118">
        <v>0</v>
      </c>
      <c r="S1206" s="283">
        <v>2016</v>
      </c>
      <c r="T1206" s="288">
        <f t="shared" si="56"/>
        <v>36426</v>
      </c>
    </row>
    <row r="1207" spans="2:20">
      <c r="B1207" s="386" t="s">
        <v>1312</v>
      </c>
      <c r="C1207" s="114"/>
      <c r="D1207" s="111" t="s">
        <v>1546</v>
      </c>
      <c r="E1207" s="111" t="s">
        <v>1859</v>
      </c>
      <c r="F1207" s="111"/>
      <c r="G1207" s="110" t="s">
        <v>2073</v>
      </c>
      <c r="H1207" s="141">
        <v>93.288207999999997</v>
      </c>
      <c r="I1207" s="280"/>
      <c r="J1207" s="72">
        <v>148.52000000000001</v>
      </c>
      <c r="K1207" s="271">
        <f t="shared" si="57"/>
        <v>13855.164652160001</v>
      </c>
      <c r="L1207" s="111"/>
      <c r="M1207" s="73"/>
      <c r="N1207" s="112"/>
      <c r="O1207" s="111"/>
      <c r="P1207" s="312">
        <v>0</v>
      </c>
      <c r="Q1207" s="288">
        <f t="shared" si="58"/>
        <v>0</v>
      </c>
      <c r="R1207" s="118">
        <v>0</v>
      </c>
      <c r="S1207" s="283">
        <v>2016</v>
      </c>
      <c r="T1207" s="288">
        <f t="shared" si="56"/>
        <v>15013</v>
      </c>
    </row>
    <row r="1208" spans="2:20">
      <c r="B1208" s="386" t="s">
        <v>1313</v>
      </c>
      <c r="C1208" s="114"/>
      <c r="D1208" s="111" t="s">
        <v>1547</v>
      </c>
      <c r="E1208" s="111" t="s">
        <v>1979</v>
      </c>
      <c r="F1208" s="111"/>
      <c r="G1208" s="110" t="s">
        <v>2073</v>
      </c>
      <c r="H1208" s="141">
        <v>239.28708399999999</v>
      </c>
      <c r="I1208" s="280"/>
      <c r="J1208" s="72">
        <v>148.52000000000001</v>
      </c>
      <c r="K1208" s="271">
        <f t="shared" si="57"/>
        <v>35538.91771568</v>
      </c>
      <c r="L1208" s="111"/>
      <c r="M1208" s="73"/>
      <c r="N1208" s="112"/>
      <c r="O1208" s="111"/>
      <c r="P1208" s="312">
        <v>0</v>
      </c>
      <c r="Q1208" s="288">
        <f t="shared" si="58"/>
        <v>0</v>
      </c>
      <c r="R1208" s="118">
        <v>0</v>
      </c>
      <c r="S1208" s="283">
        <v>2016</v>
      </c>
      <c r="T1208" s="288">
        <f t="shared" si="56"/>
        <v>38510</v>
      </c>
    </row>
    <row r="1209" spans="2:20">
      <c r="B1209" s="386" t="s">
        <v>1314</v>
      </c>
      <c r="C1209" s="114"/>
      <c r="D1209" s="111" t="s">
        <v>1547</v>
      </c>
      <c r="E1209" s="111" t="s">
        <v>1979</v>
      </c>
      <c r="F1209" s="111"/>
      <c r="G1209" s="110" t="s">
        <v>2073</v>
      </c>
      <c r="H1209" s="141">
        <v>116.335421</v>
      </c>
      <c r="I1209" s="280"/>
      <c r="J1209" s="72">
        <v>148.52000000000001</v>
      </c>
      <c r="K1209" s="271">
        <f t="shared" si="57"/>
        <v>17278.136726920002</v>
      </c>
      <c r="L1209" s="111"/>
      <c r="M1209" s="73"/>
      <c r="N1209" s="112"/>
      <c r="O1209" s="111"/>
      <c r="P1209" s="312">
        <v>0</v>
      </c>
      <c r="Q1209" s="288">
        <f t="shared" si="58"/>
        <v>0</v>
      </c>
      <c r="R1209" s="118">
        <v>0</v>
      </c>
      <c r="S1209" s="283">
        <v>2016</v>
      </c>
      <c r="T1209" s="288">
        <f t="shared" si="56"/>
        <v>18722</v>
      </c>
    </row>
    <row r="1210" spans="2:20">
      <c r="B1210" s="386" t="s">
        <v>1315</v>
      </c>
      <c r="C1210" s="114"/>
      <c r="D1210" s="111" t="s">
        <v>1547</v>
      </c>
      <c r="E1210" s="111" t="s">
        <v>1980</v>
      </c>
      <c r="F1210" s="111"/>
      <c r="G1210" s="110" t="s">
        <v>2073</v>
      </c>
      <c r="H1210" s="141">
        <v>767.58678299999997</v>
      </c>
      <c r="I1210" s="280"/>
      <c r="J1210" s="72">
        <v>148.52000000000001</v>
      </c>
      <c r="K1210" s="271">
        <f t="shared" si="57"/>
        <v>114001.98901116</v>
      </c>
      <c r="L1210" s="111"/>
      <c r="M1210" s="73"/>
      <c r="N1210" s="112"/>
      <c r="O1210" s="111"/>
      <c r="P1210" s="312">
        <v>0</v>
      </c>
      <c r="Q1210" s="288">
        <f t="shared" si="58"/>
        <v>0</v>
      </c>
      <c r="R1210" s="118">
        <v>0</v>
      </c>
      <c r="S1210" s="283">
        <v>2016</v>
      </c>
      <c r="T1210" s="288">
        <f t="shared" si="56"/>
        <v>123531</v>
      </c>
    </row>
    <row r="1211" spans="2:20">
      <c r="B1211" s="386" t="s">
        <v>1316</v>
      </c>
      <c r="C1211" s="114"/>
      <c r="D1211" s="111" t="s">
        <v>1547</v>
      </c>
      <c r="E1211" s="111" t="s">
        <v>1981</v>
      </c>
      <c r="F1211" s="111"/>
      <c r="G1211" s="110" t="s">
        <v>2073</v>
      </c>
      <c r="H1211" s="141">
        <v>1244.303971</v>
      </c>
      <c r="I1211" s="280"/>
      <c r="J1211" s="72">
        <v>148.52000000000001</v>
      </c>
      <c r="K1211" s="271">
        <f t="shared" si="57"/>
        <v>184804.02577292002</v>
      </c>
      <c r="L1211" s="111"/>
      <c r="M1211" s="73"/>
      <c r="N1211" s="112"/>
      <c r="O1211" s="111"/>
      <c r="P1211" s="312">
        <v>0</v>
      </c>
      <c r="Q1211" s="288">
        <f t="shared" si="58"/>
        <v>0</v>
      </c>
      <c r="R1211" s="118">
        <v>0</v>
      </c>
      <c r="S1211" s="283">
        <v>2016</v>
      </c>
      <c r="T1211" s="288">
        <f t="shared" si="56"/>
        <v>200252</v>
      </c>
    </row>
    <row r="1212" spans="2:20">
      <c r="B1212" s="386" t="s">
        <v>1317</v>
      </c>
      <c r="C1212" s="114"/>
      <c r="D1212" s="111" t="s">
        <v>1546</v>
      </c>
      <c r="E1212" s="111" t="s">
        <v>1982</v>
      </c>
      <c r="F1212" s="111"/>
      <c r="G1212" s="110" t="s">
        <v>2073</v>
      </c>
      <c r="H1212" s="141">
        <v>38.645744999999998</v>
      </c>
      <c r="I1212" s="280"/>
      <c r="J1212" s="72">
        <v>148.52000000000001</v>
      </c>
      <c r="K1212" s="271">
        <f t="shared" si="57"/>
        <v>5739.6660474</v>
      </c>
      <c r="L1212" s="111"/>
      <c r="M1212" s="73"/>
      <c r="N1212" s="112"/>
      <c r="O1212" s="111"/>
      <c r="P1212" s="312">
        <v>0</v>
      </c>
      <c r="Q1212" s="288">
        <f t="shared" si="58"/>
        <v>0</v>
      </c>
      <c r="R1212" s="118">
        <v>0</v>
      </c>
      <c r="S1212" s="283">
        <v>2016</v>
      </c>
      <c r="T1212" s="288">
        <f t="shared" si="56"/>
        <v>6219</v>
      </c>
    </row>
    <row r="1213" spans="2:20">
      <c r="B1213" s="386" t="s">
        <v>1318</v>
      </c>
      <c r="C1213" s="114"/>
      <c r="D1213" s="111" t="s">
        <v>1546</v>
      </c>
      <c r="E1213" s="111" t="s">
        <v>1982</v>
      </c>
      <c r="F1213" s="111"/>
      <c r="G1213" s="110" t="s">
        <v>2073</v>
      </c>
      <c r="H1213" s="141">
        <v>105.36035099999999</v>
      </c>
      <c r="I1213" s="280"/>
      <c r="J1213" s="72">
        <v>148.52000000000001</v>
      </c>
      <c r="K1213" s="271">
        <f t="shared" si="57"/>
        <v>15648.119330519999</v>
      </c>
      <c r="L1213" s="111"/>
      <c r="M1213" s="73"/>
      <c r="N1213" s="112"/>
      <c r="O1213" s="111"/>
      <c r="P1213" s="312">
        <v>0</v>
      </c>
      <c r="Q1213" s="288">
        <f t="shared" si="58"/>
        <v>0</v>
      </c>
      <c r="R1213" s="118">
        <v>0</v>
      </c>
      <c r="S1213" s="283">
        <v>2016</v>
      </c>
      <c r="T1213" s="288">
        <f t="shared" si="56"/>
        <v>16956</v>
      </c>
    </row>
    <row r="1214" spans="2:20">
      <c r="B1214" s="386" t="s">
        <v>1319</v>
      </c>
      <c r="C1214" s="114"/>
      <c r="D1214" s="111" t="s">
        <v>1546</v>
      </c>
      <c r="E1214" s="111" t="s">
        <v>1982</v>
      </c>
      <c r="F1214" s="111"/>
      <c r="G1214" s="110" t="s">
        <v>2073</v>
      </c>
      <c r="H1214" s="141">
        <v>400.61096700000002</v>
      </c>
      <c r="I1214" s="280"/>
      <c r="J1214" s="72">
        <v>148.52000000000001</v>
      </c>
      <c r="K1214" s="271">
        <f t="shared" si="57"/>
        <v>59498.740818840008</v>
      </c>
      <c r="L1214" s="111"/>
      <c r="M1214" s="73"/>
      <c r="N1214" s="112"/>
      <c r="O1214" s="111"/>
      <c r="P1214" s="312">
        <v>0</v>
      </c>
      <c r="Q1214" s="288">
        <f t="shared" si="58"/>
        <v>0</v>
      </c>
      <c r="R1214" s="118">
        <v>0</v>
      </c>
      <c r="S1214" s="283">
        <v>2016</v>
      </c>
      <c r="T1214" s="288">
        <f t="shared" si="56"/>
        <v>64472</v>
      </c>
    </row>
    <row r="1215" spans="2:20">
      <c r="B1215" s="386" t="s">
        <v>1320</v>
      </c>
      <c r="C1215" s="114"/>
      <c r="D1215" s="111" t="s">
        <v>1547</v>
      </c>
      <c r="E1215" s="111" t="s">
        <v>1983</v>
      </c>
      <c r="F1215" s="111"/>
      <c r="G1215" s="110" t="s">
        <v>2073</v>
      </c>
      <c r="H1215" s="141">
        <v>1756.945788</v>
      </c>
      <c r="I1215" s="280"/>
      <c r="J1215" s="72">
        <v>148.52000000000001</v>
      </c>
      <c r="K1215" s="271">
        <f t="shared" si="57"/>
        <v>260941.58843376001</v>
      </c>
      <c r="L1215" s="111"/>
      <c r="M1215" s="73"/>
      <c r="N1215" s="112"/>
      <c r="O1215" s="111"/>
      <c r="P1215" s="312">
        <v>567.04523700000004</v>
      </c>
      <c r="Q1215" s="288">
        <f t="shared" si="58"/>
        <v>14.325233914274108</v>
      </c>
      <c r="R1215" s="118">
        <v>8123.05566</v>
      </c>
      <c r="S1215" s="283">
        <v>2016</v>
      </c>
      <c r="T1215" s="288">
        <f t="shared" si="56"/>
        <v>291570</v>
      </c>
    </row>
    <row r="1216" spans="2:20">
      <c r="B1216" s="386" t="s">
        <v>1321</v>
      </c>
      <c r="C1216" s="114"/>
      <c r="D1216" s="111" t="s">
        <v>1547</v>
      </c>
      <c r="E1216" s="111" t="s">
        <v>1983</v>
      </c>
      <c r="F1216" s="111"/>
      <c r="G1216" s="110" t="s">
        <v>2074</v>
      </c>
      <c r="H1216" s="141">
        <v>282.27153499999997</v>
      </c>
      <c r="I1216" s="280"/>
      <c r="J1216" s="72">
        <v>148.52000000000001</v>
      </c>
      <c r="K1216" s="271">
        <f t="shared" si="57"/>
        <v>41922.968378199999</v>
      </c>
      <c r="L1216" s="111"/>
      <c r="M1216" s="73"/>
      <c r="N1216" s="112"/>
      <c r="O1216" s="111"/>
      <c r="P1216" s="312">
        <v>0</v>
      </c>
      <c r="Q1216" s="288">
        <f t="shared" si="58"/>
        <v>0</v>
      </c>
      <c r="R1216" s="118">
        <v>0</v>
      </c>
      <c r="S1216" s="283">
        <v>2016</v>
      </c>
      <c r="T1216" s="288">
        <f t="shared" si="56"/>
        <v>45427</v>
      </c>
    </row>
    <row r="1217" spans="2:20">
      <c r="B1217" s="386" t="s">
        <v>1322</v>
      </c>
      <c r="C1217" s="114"/>
      <c r="D1217" s="111" t="s">
        <v>1547</v>
      </c>
      <c r="E1217" s="111" t="s">
        <v>1984</v>
      </c>
      <c r="F1217" s="111"/>
      <c r="G1217" s="110" t="s">
        <v>2073</v>
      </c>
      <c r="H1217" s="141">
        <v>1334.654507</v>
      </c>
      <c r="I1217" s="280"/>
      <c r="J1217" s="72">
        <v>148.52000000000001</v>
      </c>
      <c r="K1217" s="271">
        <f t="shared" si="57"/>
        <v>198222.88737964001</v>
      </c>
      <c r="L1217" s="111"/>
      <c r="M1217" s="73"/>
      <c r="N1217" s="112"/>
      <c r="O1217" s="111"/>
      <c r="P1217" s="312">
        <v>1851.71012</v>
      </c>
      <c r="Q1217" s="288">
        <f t="shared" si="58"/>
        <v>431.87435082981568</v>
      </c>
      <c r="R1217" s="118">
        <v>799706.10600000003</v>
      </c>
      <c r="S1217" s="283">
        <v>2016</v>
      </c>
      <c r="T1217" s="288">
        <f t="shared" si="56"/>
        <v>1082757</v>
      </c>
    </row>
    <row r="1218" spans="2:20">
      <c r="B1218" s="386" t="s">
        <v>1323</v>
      </c>
      <c r="C1218" s="114"/>
      <c r="D1218" s="111" t="s">
        <v>1547</v>
      </c>
      <c r="E1218" s="111" t="s">
        <v>1984</v>
      </c>
      <c r="F1218" s="111"/>
      <c r="G1218" s="110" t="s">
        <v>2073</v>
      </c>
      <c r="H1218" s="141">
        <v>722.80268100000001</v>
      </c>
      <c r="I1218" s="280"/>
      <c r="J1218" s="72">
        <v>148.52000000000001</v>
      </c>
      <c r="K1218" s="271">
        <f t="shared" si="57"/>
        <v>107350.65418212001</v>
      </c>
      <c r="L1218" s="111"/>
      <c r="M1218" s="73"/>
      <c r="N1218" s="112"/>
      <c r="O1218" s="111"/>
      <c r="P1218" s="312">
        <v>0</v>
      </c>
      <c r="Q1218" s="288">
        <f t="shared" si="58"/>
        <v>0</v>
      </c>
      <c r="R1218" s="118">
        <v>0</v>
      </c>
      <c r="S1218" s="283">
        <v>2016</v>
      </c>
      <c r="T1218" s="288">
        <f t="shared" si="56"/>
        <v>116324</v>
      </c>
    </row>
    <row r="1219" spans="2:20">
      <c r="B1219" s="386" t="s">
        <v>1324</v>
      </c>
      <c r="C1219" s="114"/>
      <c r="D1219" s="111" t="s">
        <v>1547</v>
      </c>
      <c r="E1219" s="111" t="s">
        <v>1984</v>
      </c>
      <c r="F1219" s="111"/>
      <c r="G1219" s="110" t="s">
        <v>2073</v>
      </c>
      <c r="H1219" s="141">
        <v>321.34667100000001</v>
      </c>
      <c r="I1219" s="280"/>
      <c r="J1219" s="72">
        <v>148.52000000000001</v>
      </c>
      <c r="K1219" s="271">
        <f t="shared" si="57"/>
        <v>47726.407576920006</v>
      </c>
      <c r="L1219" s="111"/>
      <c r="M1219" s="73"/>
      <c r="N1219" s="112"/>
      <c r="O1219" s="111"/>
      <c r="P1219" s="312">
        <v>0</v>
      </c>
      <c r="Q1219" s="288">
        <f t="shared" si="58"/>
        <v>0</v>
      </c>
      <c r="R1219" s="118">
        <v>0</v>
      </c>
      <c r="S1219" s="283">
        <v>2016</v>
      </c>
      <c r="T1219" s="288">
        <f t="shared" si="56"/>
        <v>51716</v>
      </c>
    </row>
    <row r="1220" spans="2:20">
      <c r="B1220" s="386" t="s">
        <v>1325</v>
      </c>
      <c r="C1220" s="114"/>
      <c r="D1220" s="111" t="s">
        <v>1547</v>
      </c>
      <c r="E1220" s="111" t="s">
        <v>1985</v>
      </c>
      <c r="F1220" s="111"/>
      <c r="G1220" s="110" t="s">
        <v>2073</v>
      </c>
      <c r="H1220" s="141">
        <v>1008.238895</v>
      </c>
      <c r="I1220" s="280"/>
      <c r="J1220" s="72">
        <v>148.52000000000001</v>
      </c>
      <c r="K1220" s="271">
        <f t="shared" si="57"/>
        <v>149743.64068539999</v>
      </c>
      <c r="L1220" s="111"/>
      <c r="M1220" s="73"/>
      <c r="N1220" s="112"/>
      <c r="O1220" s="111"/>
      <c r="P1220" s="312">
        <v>0</v>
      </c>
      <c r="Q1220" s="288">
        <f t="shared" si="58"/>
        <v>0</v>
      </c>
      <c r="R1220" s="118">
        <v>0</v>
      </c>
      <c r="S1220" s="283">
        <v>2016</v>
      </c>
      <c r="T1220" s="288">
        <f t="shared" si="56"/>
        <v>162261</v>
      </c>
    </row>
    <row r="1221" spans="2:20">
      <c r="B1221" s="386" t="s">
        <v>1326</v>
      </c>
      <c r="C1221" s="114"/>
      <c r="D1221" s="111" t="s">
        <v>1547</v>
      </c>
      <c r="E1221" s="111" t="s">
        <v>1986</v>
      </c>
      <c r="F1221" s="111"/>
      <c r="G1221" s="110" t="s">
        <v>2073</v>
      </c>
      <c r="H1221" s="141">
        <v>184.161957</v>
      </c>
      <c r="I1221" s="280"/>
      <c r="J1221" s="72">
        <v>148.52000000000001</v>
      </c>
      <c r="K1221" s="271">
        <f t="shared" si="57"/>
        <v>27351.733853640002</v>
      </c>
      <c r="L1221" s="111"/>
      <c r="M1221" s="73"/>
      <c r="N1221" s="112"/>
      <c r="O1221" s="111"/>
      <c r="P1221" s="312">
        <v>0</v>
      </c>
      <c r="Q1221" s="288">
        <f t="shared" si="58"/>
        <v>0</v>
      </c>
      <c r="R1221" s="118">
        <v>0</v>
      </c>
      <c r="S1221" s="283">
        <v>2016</v>
      </c>
      <c r="T1221" s="288">
        <f t="shared" si="56"/>
        <v>29638</v>
      </c>
    </row>
    <row r="1222" spans="2:20">
      <c r="B1222" s="386" t="s">
        <v>1327</v>
      </c>
      <c r="C1222" s="114"/>
      <c r="D1222" s="111" t="s">
        <v>1546</v>
      </c>
      <c r="E1222" s="111" t="s">
        <v>1879</v>
      </c>
      <c r="F1222" s="111"/>
      <c r="G1222" s="110" t="s">
        <v>2073</v>
      </c>
      <c r="H1222" s="141">
        <v>588.47116500000004</v>
      </c>
      <c r="I1222" s="280"/>
      <c r="J1222" s="72">
        <v>148.52000000000001</v>
      </c>
      <c r="K1222" s="271">
        <f t="shared" si="57"/>
        <v>87399.737425800005</v>
      </c>
      <c r="L1222" s="111"/>
      <c r="M1222" s="73"/>
      <c r="N1222" s="112"/>
      <c r="O1222" s="111"/>
      <c r="P1222" s="312">
        <v>0</v>
      </c>
      <c r="Q1222" s="288">
        <f t="shared" si="58"/>
        <v>0</v>
      </c>
      <c r="R1222" s="118">
        <v>0</v>
      </c>
      <c r="S1222" s="283">
        <v>2016</v>
      </c>
      <c r="T1222" s="288">
        <f t="shared" si="56"/>
        <v>94705</v>
      </c>
    </row>
    <row r="1223" spans="2:20">
      <c r="B1223" s="386" t="s">
        <v>1328</v>
      </c>
      <c r="C1223" s="114"/>
      <c r="D1223" s="111" t="s">
        <v>1546</v>
      </c>
      <c r="E1223" s="111" t="s">
        <v>1987</v>
      </c>
      <c r="F1223" s="111"/>
      <c r="G1223" s="110" t="s">
        <v>2073</v>
      </c>
      <c r="H1223" s="141">
        <v>337.78925400000003</v>
      </c>
      <c r="I1223" s="280"/>
      <c r="J1223" s="72">
        <v>148.52000000000001</v>
      </c>
      <c r="K1223" s="271">
        <f t="shared" si="57"/>
        <v>50168.460004080007</v>
      </c>
      <c r="L1223" s="111"/>
      <c r="M1223" s="73"/>
      <c r="N1223" s="112"/>
      <c r="O1223" s="111"/>
      <c r="P1223" s="312">
        <v>0</v>
      </c>
      <c r="Q1223" s="288">
        <f t="shared" si="58"/>
        <v>0</v>
      </c>
      <c r="R1223" s="118">
        <v>0</v>
      </c>
      <c r="S1223" s="283">
        <v>2016</v>
      </c>
      <c r="T1223" s="288">
        <f t="shared" si="56"/>
        <v>54362</v>
      </c>
    </row>
    <row r="1224" spans="2:20">
      <c r="B1224" s="386" t="s">
        <v>1329</v>
      </c>
      <c r="C1224" s="114"/>
      <c r="D1224" s="111" t="s">
        <v>1546</v>
      </c>
      <c r="E1224" s="111" t="s">
        <v>1987</v>
      </c>
      <c r="F1224" s="111"/>
      <c r="G1224" s="110" t="s">
        <v>2073</v>
      </c>
      <c r="H1224" s="141">
        <v>1029.2201359999999</v>
      </c>
      <c r="I1224" s="280"/>
      <c r="J1224" s="72">
        <v>148.52000000000001</v>
      </c>
      <c r="K1224" s="271">
        <f t="shared" si="57"/>
        <v>152859.77459871999</v>
      </c>
      <c r="L1224" s="111"/>
      <c r="M1224" s="73"/>
      <c r="N1224" s="112"/>
      <c r="O1224" s="111"/>
      <c r="P1224" s="312">
        <v>0</v>
      </c>
      <c r="Q1224" s="288">
        <f t="shared" si="58"/>
        <v>0</v>
      </c>
      <c r="R1224" s="118">
        <v>0</v>
      </c>
      <c r="S1224" s="283">
        <v>2016</v>
      </c>
      <c r="T1224" s="288">
        <f t="shared" si="56"/>
        <v>165637</v>
      </c>
    </row>
    <row r="1225" spans="2:20">
      <c r="B1225" s="386" t="s">
        <v>1330</v>
      </c>
      <c r="C1225" s="114"/>
      <c r="D1225" s="111" t="s">
        <v>1546</v>
      </c>
      <c r="E1225" s="111" t="s">
        <v>1987</v>
      </c>
      <c r="F1225" s="111"/>
      <c r="G1225" s="110" t="s">
        <v>2073</v>
      </c>
      <c r="H1225" s="141">
        <v>202.414658</v>
      </c>
      <c r="I1225" s="280"/>
      <c r="J1225" s="72">
        <v>148.52000000000001</v>
      </c>
      <c r="K1225" s="271">
        <f t="shared" si="57"/>
        <v>30062.625006160004</v>
      </c>
      <c r="L1225" s="111"/>
      <c r="M1225" s="73"/>
      <c r="N1225" s="112"/>
      <c r="O1225" s="111"/>
      <c r="P1225" s="312">
        <v>0</v>
      </c>
      <c r="Q1225" s="288">
        <f t="shared" si="58"/>
        <v>0</v>
      </c>
      <c r="R1225" s="118">
        <v>0</v>
      </c>
      <c r="S1225" s="283">
        <v>2016</v>
      </c>
      <c r="T1225" s="288">
        <f t="shared" si="56"/>
        <v>32576</v>
      </c>
    </row>
    <row r="1226" spans="2:20">
      <c r="B1226" s="386" t="s">
        <v>1331</v>
      </c>
      <c r="C1226" s="114"/>
      <c r="D1226" s="111" t="s">
        <v>1547</v>
      </c>
      <c r="E1226" s="111" t="s">
        <v>1987</v>
      </c>
      <c r="F1226" s="111"/>
      <c r="G1226" s="110" t="s">
        <v>2073</v>
      </c>
      <c r="H1226" s="141">
        <v>23.556274999999999</v>
      </c>
      <c r="I1226" s="280"/>
      <c r="J1226" s="72">
        <v>148.52000000000001</v>
      </c>
      <c r="K1226" s="271">
        <f t="shared" si="57"/>
        <v>3498.5779630000002</v>
      </c>
      <c r="L1226" s="111"/>
      <c r="M1226" s="73"/>
      <c r="N1226" s="112"/>
      <c r="O1226" s="111"/>
      <c r="P1226" s="312">
        <v>0</v>
      </c>
      <c r="Q1226" s="288">
        <f t="shared" si="58"/>
        <v>0</v>
      </c>
      <c r="R1226" s="118">
        <v>0</v>
      </c>
      <c r="S1226" s="283">
        <v>2016</v>
      </c>
      <c r="T1226" s="288">
        <f t="shared" si="56"/>
        <v>3791</v>
      </c>
    </row>
    <row r="1227" spans="2:20">
      <c r="B1227" s="386" t="s">
        <v>1332</v>
      </c>
      <c r="C1227" s="114"/>
      <c r="D1227" s="111" t="s">
        <v>1546</v>
      </c>
      <c r="E1227" s="111" t="s">
        <v>1988</v>
      </c>
      <c r="F1227" s="111"/>
      <c r="G1227" s="110" t="s">
        <v>2073</v>
      </c>
      <c r="H1227" s="141">
        <v>76.607039</v>
      </c>
      <c r="I1227" s="280"/>
      <c r="J1227" s="72">
        <v>148.52000000000001</v>
      </c>
      <c r="K1227" s="271">
        <f t="shared" si="57"/>
        <v>11377.677432280001</v>
      </c>
      <c r="L1227" s="111"/>
      <c r="M1227" s="73"/>
      <c r="N1227" s="112"/>
      <c r="O1227" s="111"/>
      <c r="P1227" s="312">
        <v>0</v>
      </c>
      <c r="Q1227" s="288">
        <f t="shared" si="58"/>
        <v>0</v>
      </c>
      <c r="R1227" s="118">
        <v>0</v>
      </c>
      <c r="S1227" s="283">
        <v>2016</v>
      </c>
      <c r="T1227" s="288">
        <f t="shared" si="56"/>
        <v>12329</v>
      </c>
    </row>
    <row r="1228" spans="2:20">
      <c r="B1228" s="386" t="s">
        <v>1333</v>
      </c>
      <c r="C1228" s="114"/>
      <c r="D1228" s="111" t="s">
        <v>1546</v>
      </c>
      <c r="E1228" s="111" t="s">
        <v>1988</v>
      </c>
      <c r="F1228" s="111"/>
      <c r="G1228" s="110" t="s">
        <v>2073</v>
      </c>
      <c r="H1228" s="141">
        <v>61.714089999999999</v>
      </c>
      <c r="I1228" s="280"/>
      <c r="J1228" s="72">
        <v>148.52000000000001</v>
      </c>
      <c r="K1228" s="271">
        <f t="shared" si="57"/>
        <v>9165.7766468000009</v>
      </c>
      <c r="L1228" s="111"/>
      <c r="M1228" s="73"/>
      <c r="N1228" s="112"/>
      <c r="O1228" s="111"/>
      <c r="P1228" s="312">
        <v>0</v>
      </c>
      <c r="Q1228" s="288">
        <f t="shared" si="58"/>
        <v>0</v>
      </c>
      <c r="R1228" s="118">
        <v>0</v>
      </c>
      <c r="S1228" s="283">
        <v>2016</v>
      </c>
      <c r="T1228" s="288">
        <f t="shared" si="56"/>
        <v>9932</v>
      </c>
    </row>
    <row r="1229" spans="2:20">
      <c r="B1229" s="386" t="s">
        <v>1334</v>
      </c>
      <c r="C1229" s="114"/>
      <c r="D1229" s="111" t="s">
        <v>1546</v>
      </c>
      <c r="E1229" s="111" t="s">
        <v>1978</v>
      </c>
      <c r="F1229" s="111"/>
      <c r="G1229" s="110" t="s">
        <v>2072</v>
      </c>
      <c r="H1229" s="141">
        <v>17.091725</v>
      </c>
      <c r="I1229" s="280"/>
      <c r="J1229" s="72">
        <v>151.88</v>
      </c>
      <c r="K1229" s="271">
        <f t="shared" si="57"/>
        <v>2595.8911929999999</v>
      </c>
      <c r="L1229" s="111"/>
      <c r="M1229" s="73"/>
      <c r="N1229" s="112"/>
      <c r="O1229" s="111"/>
      <c r="P1229" s="312">
        <v>0</v>
      </c>
      <c r="Q1229" s="288">
        <f t="shared" si="58"/>
        <v>0</v>
      </c>
      <c r="R1229" s="118">
        <v>0</v>
      </c>
      <c r="S1229" s="283">
        <v>2016</v>
      </c>
      <c r="T1229" s="288">
        <f t="shared" ref="T1229:T1292" si="59">IFERROR(ROUND((K1229*(1+PPI_Existing)^(YEAR-S1229))+(R1229*((1+LandInd_Existing)^(YEAR-S1229))),0),0)</f>
        <v>2813</v>
      </c>
    </row>
    <row r="1230" spans="2:20">
      <c r="B1230" s="386" t="s">
        <v>1335</v>
      </c>
      <c r="C1230" s="114"/>
      <c r="D1230" s="111" t="s">
        <v>1546</v>
      </c>
      <c r="E1230" s="111" t="s">
        <v>1978</v>
      </c>
      <c r="F1230" s="111"/>
      <c r="G1230" s="110" t="s">
        <v>2072</v>
      </c>
      <c r="H1230" s="141">
        <v>20.336186999999999</v>
      </c>
      <c r="I1230" s="280"/>
      <c r="J1230" s="72">
        <v>151.88</v>
      </c>
      <c r="K1230" s="271">
        <f t="shared" si="57"/>
        <v>3088.6600815599995</v>
      </c>
      <c r="L1230" s="111"/>
      <c r="M1230" s="73"/>
      <c r="N1230" s="112"/>
      <c r="O1230" s="111"/>
      <c r="P1230" s="312">
        <v>0</v>
      </c>
      <c r="Q1230" s="288">
        <f t="shared" si="58"/>
        <v>0</v>
      </c>
      <c r="R1230" s="118">
        <v>0</v>
      </c>
      <c r="S1230" s="283">
        <v>2016</v>
      </c>
      <c r="T1230" s="288">
        <f t="shared" si="59"/>
        <v>3347</v>
      </c>
    </row>
    <row r="1231" spans="2:20">
      <c r="B1231" s="386" t="s">
        <v>1336</v>
      </c>
      <c r="C1231" s="114"/>
      <c r="D1231" s="111" t="s">
        <v>1546</v>
      </c>
      <c r="E1231" s="111" t="s">
        <v>1978</v>
      </c>
      <c r="F1231" s="111"/>
      <c r="G1231" s="110" t="s">
        <v>2072</v>
      </c>
      <c r="H1231" s="141">
        <v>13.615494</v>
      </c>
      <c r="I1231" s="280"/>
      <c r="J1231" s="72">
        <v>151.88</v>
      </c>
      <c r="K1231" s="271">
        <f t="shared" si="57"/>
        <v>2067.9212287199998</v>
      </c>
      <c r="L1231" s="111"/>
      <c r="M1231" s="73"/>
      <c r="N1231" s="112"/>
      <c r="O1231" s="111"/>
      <c r="P1231" s="312">
        <v>0</v>
      </c>
      <c r="Q1231" s="288">
        <f t="shared" si="58"/>
        <v>0</v>
      </c>
      <c r="R1231" s="118">
        <v>0</v>
      </c>
      <c r="S1231" s="283">
        <v>2016</v>
      </c>
      <c r="T1231" s="288">
        <f t="shared" si="59"/>
        <v>2241</v>
      </c>
    </row>
    <row r="1232" spans="2:20">
      <c r="B1232" s="386" t="s">
        <v>1337</v>
      </c>
      <c r="C1232" s="114"/>
      <c r="D1232" s="111" t="s">
        <v>1546</v>
      </c>
      <c r="E1232" s="111" t="s">
        <v>1978</v>
      </c>
      <c r="F1232" s="111"/>
      <c r="G1232" s="110" t="s">
        <v>2072</v>
      </c>
      <c r="H1232" s="141">
        <v>298.43653899999998</v>
      </c>
      <c r="I1232" s="280"/>
      <c r="J1232" s="72">
        <v>151.88</v>
      </c>
      <c r="K1232" s="271">
        <f t="shared" si="57"/>
        <v>45326.541543319996</v>
      </c>
      <c r="L1232" s="111"/>
      <c r="M1232" s="73"/>
      <c r="N1232" s="112"/>
      <c r="O1232" s="111"/>
      <c r="P1232" s="312">
        <v>0</v>
      </c>
      <c r="Q1232" s="288">
        <f t="shared" si="58"/>
        <v>0</v>
      </c>
      <c r="R1232" s="118">
        <v>0</v>
      </c>
      <c r="S1232" s="283">
        <v>2016</v>
      </c>
      <c r="T1232" s="288">
        <f t="shared" si="59"/>
        <v>49115</v>
      </c>
    </row>
    <row r="1233" spans="2:20">
      <c r="B1233" s="386" t="s">
        <v>1338</v>
      </c>
      <c r="C1233" s="114"/>
      <c r="D1233" s="111" t="s">
        <v>1546</v>
      </c>
      <c r="E1233" s="111" t="s">
        <v>1978</v>
      </c>
      <c r="F1233" s="111"/>
      <c r="G1233" s="110" t="s">
        <v>2073</v>
      </c>
      <c r="H1233" s="141">
        <v>2173.4421809999999</v>
      </c>
      <c r="I1233" s="280"/>
      <c r="J1233" s="72">
        <v>148.52000000000001</v>
      </c>
      <c r="K1233" s="271">
        <f t="shared" si="57"/>
        <v>322799.63272212003</v>
      </c>
      <c r="L1233" s="111"/>
      <c r="M1233" s="73"/>
      <c r="N1233" s="112"/>
      <c r="O1233" s="111"/>
      <c r="P1233" s="312">
        <v>0</v>
      </c>
      <c r="Q1233" s="288">
        <f t="shared" si="58"/>
        <v>0</v>
      </c>
      <c r="R1233" s="118">
        <v>0</v>
      </c>
      <c r="S1233" s="283">
        <v>2016</v>
      </c>
      <c r="T1233" s="288">
        <f t="shared" si="59"/>
        <v>349782</v>
      </c>
    </row>
    <row r="1234" spans="2:20">
      <c r="B1234" s="386" t="s">
        <v>1339</v>
      </c>
      <c r="C1234" s="114"/>
      <c r="D1234" s="111" t="s">
        <v>1546</v>
      </c>
      <c r="E1234" s="111" t="s">
        <v>1978</v>
      </c>
      <c r="F1234" s="111"/>
      <c r="G1234" s="110" t="s">
        <v>2073</v>
      </c>
      <c r="H1234" s="141">
        <v>717.94274800000005</v>
      </c>
      <c r="I1234" s="280"/>
      <c r="J1234" s="72">
        <v>148.52000000000001</v>
      </c>
      <c r="K1234" s="271">
        <f t="shared" si="57"/>
        <v>106628.85693296001</v>
      </c>
      <c r="L1234" s="111"/>
      <c r="M1234" s="73"/>
      <c r="N1234" s="112"/>
      <c r="O1234" s="111"/>
      <c r="P1234" s="312">
        <v>0</v>
      </c>
      <c r="Q1234" s="288">
        <f t="shared" si="58"/>
        <v>0</v>
      </c>
      <c r="R1234" s="118">
        <v>0</v>
      </c>
      <c r="S1234" s="283">
        <v>2016</v>
      </c>
      <c r="T1234" s="288">
        <f t="shared" si="59"/>
        <v>115542</v>
      </c>
    </row>
    <row r="1235" spans="2:20">
      <c r="B1235" s="386" t="s">
        <v>1340</v>
      </c>
      <c r="C1235" s="114"/>
      <c r="D1235" s="111" t="s">
        <v>1546</v>
      </c>
      <c r="E1235" s="111" t="s">
        <v>1978</v>
      </c>
      <c r="F1235" s="111"/>
      <c r="G1235" s="110" t="s">
        <v>2072</v>
      </c>
      <c r="H1235" s="141">
        <v>31.120740999999999</v>
      </c>
      <c r="I1235" s="280"/>
      <c r="J1235" s="72">
        <v>151.88</v>
      </c>
      <c r="K1235" s="271">
        <f t="shared" si="57"/>
        <v>4726.6181430799998</v>
      </c>
      <c r="L1235" s="111"/>
      <c r="M1235" s="73"/>
      <c r="N1235" s="112"/>
      <c r="O1235" s="111"/>
      <c r="P1235" s="312">
        <v>0</v>
      </c>
      <c r="Q1235" s="288">
        <f t="shared" si="58"/>
        <v>0</v>
      </c>
      <c r="R1235" s="118">
        <v>0</v>
      </c>
      <c r="S1235" s="283">
        <v>2016</v>
      </c>
      <c r="T1235" s="288">
        <f t="shared" si="59"/>
        <v>5122</v>
      </c>
    </row>
    <row r="1236" spans="2:20">
      <c r="B1236" s="386" t="s">
        <v>1341</v>
      </c>
      <c r="C1236" s="114"/>
      <c r="D1236" s="111" t="s">
        <v>1546</v>
      </c>
      <c r="E1236" s="111" t="s">
        <v>1989</v>
      </c>
      <c r="F1236" s="111"/>
      <c r="G1236" s="110" t="s">
        <v>2073</v>
      </c>
      <c r="H1236" s="141">
        <v>12.931687999999999</v>
      </c>
      <c r="I1236" s="280"/>
      <c r="J1236" s="72">
        <v>148.52000000000001</v>
      </c>
      <c r="K1236" s="271">
        <f t="shared" ref="K1236:K1297" si="60">J1236*H1236</f>
        <v>1920.61430176</v>
      </c>
      <c r="L1236" s="111"/>
      <c r="M1236" s="73"/>
      <c r="N1236" s="112"/>
      <c r="O1236" s="111"/>
      <c r="P1236" s="312">
        <v>0</v>
      </c>
      <c r="Q1236" s="288">
        <f t="shared" ref="Q1236:Q1297" si="61">IFERROR(R1236/P1236,0)</f>
        <v>0</v>
      </c>
      <c r="R1236" s="118">
        <v>0</v>
      </c>
      <c r="S1236" s="283">
        <v>2016</v>
      </c>
      <c r="T1236" s="288">
        <f t="shared" si="59"/>
        <v>2081</v>
      </c>
    </row>
    <row r="1237" spans="2:20">
      <c r="B1237" s="386" t="s">
        <v>1342</v>
      </c>
      <c r="C1237" s="114"/>
      <c r="D1237" s="111" t="s">
        <v>1546</v>
      </c>
      <c r="E1237" s="111" t="s">
        <v>1859</v>
      </c>
      <c r="F1237" s="111"/>
      <c r="G1237" s="110" t="s">
        <v>2073</v>
      </c>
      <c r="H1237" s="141">
        <v>6.3839560000000004</v>
      </c>
      <c r="I1237" s="280"/>
      <c r="J1237" s="72">
        <v>148.52000000000001</v>
      </c>
      <c r="K1237" s="271">
        <f t="shared" si="60"/>
        <v>948.14514512000017</v>
      </c>
      <c r="L1237" s="111"/>
      <c r="M1237" s="73"/>
      <c r="N1237" s="112"/>
      <c r="O1237" s="111"/>
      <c r="P1237" s="312">
        <v>0</v>
      </c>
      <c r="Q1237" s="288">
        <f t="shared" si="61"/>
        <v>0</v>
      </c>
      <c r="R1237" s="118">
        <v>0</v>
      </c>
      <c r="S1237" s="283">
        <v>2016</v>
      </c>
      <c r="T1237" s="288">
        <f t="shared" si="59"/>
        <v>1027</v>
      </c>
    </row>
    <row r="1238" spans="2:20">
      <c r="B1238" s="386" t="s">
        <v>1343</v>
      </c>
      <c r="C1238" s="114"/>
      <c r="D1238" s="111" t="s">
        <v>1546</v>
      </c>
      <c r="E1238" s="111" t="s">
        <v>1990</v>
      </c>
      <c r="F1238" s="111"/>
      <c r="G1238" s="110" t="s">
        <v>2073</v>
      </c>
      <c r="H1238" s="141">
        <v>9.392595</v>
      </c>
      <c r="I1238" s="280"/>
      <c r="J1238" s="72">
        <v>148.52000000000001</v>
      </c>
      <c r="K1238" s="271">
        <f t="shared" si="60"/>
        <v>1394.9882094000002</v>
      </c>
      <c r="L1238" s="111"/>
      <c r="M1238" s="73"/>
      <c r="N1238" s="112"/>
      <c r="O1238" s="111"/>
      <c r="P1238" s="312">
        <v>0</v>
      </c>
      <c r="Q1238" s="288">
        <f t="shared" si="61"/>
        <v>0</v>
      </c>
      <c r="R1238" s="118">
        <v>0</v>
      </c>
      <c r="S1238" s="283">
        <v>2016</v>
      </c>
      <c r="T1238" s="288">
        <f t="shared" si="59"/>
        <v>1512</v>
      </c>
    </row>
    <row r="1239" spans="2:20">
      <c r="B1239" s="386" t="s">
        <v>1344</v>
      </c>
      <c r="C1239" s="114"/>
      <c r="D1239" s="111" t="s">
        <v>1547</v>
      </c>
      <c r="E1239" s="111" t="s">
        <v>1991</v>
      </c>
      <c r="F1239" s="111"/>
      <c r="G1239" s="110" t="s">
        <v>2073</v>
      </c>
      <c r="H1239" s="141">
        <v>656.46752200000003</v>
      </c>
      <c r="I1239" s="280"/>
      <c r="J1239" s="72">
        <v>148.52000000000001</v>
      </c>
      <c r="K1239" s="271">
        <f t="shared" si="60"/>
        <v>97498.556367440018</v>
      </c>
      <c r="L1239" s="111"/>
      <c r="M1239" s="73"/>
      <c r="N1239" s="112"/>
      <c r="O1239" s="111"/>
      <c r="P1239" s="312">
        <v>0</v>
      </c>
      <c r="Q1239" s="288">
        <f t="shared" si="61"/>
        <v>0</v>
      </c>
      <c r="R1239" s="118">
        <v>0</v>
      </c>
      <c r="S1239" s="283">
        <v>2016</v>
      </c>
      <c r="T1239" s="288">
        <f t="shared" si="59"/>
        <v>105648</v>
      </c>
    </row>
    <row r="1240" spans="2:20">
      <c r="B1240" s="386" t="s">
        <v>1345</v>
      </c>
      <c r="C1240" s="114"/>
      <c r="D1240" s="111" t="s">
        <v>1546</v>
      </c>
      <c r="E1240" s="111" t="s">
        <v>1992</v>
      </c>
      <c r="F1240" s="111"/>
      <c r="G1240" s="110" t="s">
        <v>2073</v>
      </c>
      <c r="H1240" s="141">
        <v>943.11700800000006</v>
      </c>
      <c r="I1240" s="280"/>
      <c r="J1240" s="72">
        <v>148.52000000000001</v>
      </c>
      <c r="K1240" s="271">
        <f t="shared" si="60"/>
        <v>140071.73802816001</v>
      </c>
      <c r="L1240" s="111"/>
      <c r="M1240" s="73"/>
      <c r="N1240" s="112"/>
      <c r="O1240" s="111"/>
      <c r="P1240" s="312">
        <v>0</v>
      </c>
      <c r="Q1240" s="288">
        <f t="shared" si="61"/>
        <v>0</v>
      </c>
      <c r="R1240" s="118">
        <v>0</v>
      </c>
      <c r="S1240" s="283">
        <v>2016</v>
      </c>
      <c r="T1240" s="288">
        <f t="shared" si="59"/>
        <v>151780</v>
      </c>
    </row>
    <row r="1241" spans="2:20">
      <c r="B1241" s="386" t="s">
        <v>1346</v>
      </c>
      <c r="C1241" s="114"/>
      <c r="D1241" s="111" t="s">
        <v>1546</v>
      </c>
      <c r="E1241" s="111" t="s">
        <v>1992</v>
      </c>
      <c r="F1241" s="111"/>
      <c r="G1241" s="110" t="s">
        <v>2073</v>
      </c>
      <c r="H1241" s="141">
        <v>1117.0132940000001</v>
      </c>
      <c r="I1241" s="280"/>
      <c r="J1241" s="72">
        <v>148.52000000000001</v>
      </c>
      <c r="K1241" s="271">
        <f t="shared" si="60"/>
        <v>165898.81442488002</v>
      </c>
      <c r="L1241" s="111"/>
      <c r="M1241" s="73"/>
      <c r="N1241" s="112"/>
      <c r="O1241" s="111"/>
      <c r="P1241" s="312">
        <v>0</v>
      </c>
      <c r="Q1241" s="288">
        <f t="shared" si="61"/>
        <v>0</v>
      </c>
      <c r="R1241" s="118">
        <v>0</v>
      </c>
      <c r="S1241" s="283">
        <v>2016</v>
      </c>
      <c r="T1241" s="288">
        <f t="shared" si="59"/>
        <v>179766</v>
      </c>
    </row>
    <row r="1242" spans="2:20">
      <c r="B1242" s="386" t="s">
        <v>1347</v>
      </c>
      <c r="C1242" s="114"/>
      <c r="D1242" s="111" t="s">
        <v>1547</v>
      </c>
      <c r="E1242" s="111" t="s">
        <v>1993</v>
      </c>
      <c r="F1242" s="111"/>
      <c r="G1242" s="110" t="s">
        <v>2073</v>
      </c>
      <c r="H1242" s="141">
        <v>55.784981999999999</v>
      </c>
      <c r="I1242" s="280"/>
      <c r="J1242" s="72">
        <v>148.52000000000001</v>
      </c>
      <c r="K1242" s="271">
        <f t="shared" si="60"/>
        <v>8285.1855266399998</v>
      </c>
      <c r="L1242" s="111"/>
      <c r="M1242" s="73"/>
      <c r="N1242" s="112"/>
      <c r="O1242" s="111"/>
      <c r="P1242" s="312">
        <v>0</v>
      </c>
      <c r="Q1242" s="288">
        <f t="shared" si="61"/>
        <v>0</v>
      </c>
      <c r="R1242" s="118">
        <v>0</v>
      </c>
      <c r="S1242" s="283">
        <v>2016</v>
      </c>
      <c r="T1242" s="288">
        <f t="shared" si="59"/>
        <v>8978</v>
      </c>
    </row>
    <row r="1243" spans="2:20">
      <c r="B1243" s="386" t="s">
        <v>1348</v>
      </c>
      <c r="C1243" s="114"/>
      <c r="D1243" s="111" t="s">
        <v>1546</v>
      </c>
      <c r="E1243" s="111" t="s">
        <v>1994</v>
      </c>
      <c r="F1243" s="111"/>
      <c r="G1243" s="110" t="s">
        <v>2073</v>
      </c>
      <c r="H1243" s="141">
        <v>3356.2486210000002</v>
      </c>
      <c r="I1243" s="280"/>
      <c r="J1243" s="72">
        <v>148.52000000000001</v>
      </c>
      <c r="K1243" s="271">
        <f t="shared" si="60"/>
        <v>498470.04519092006</v>
      </c>
      <c r="L1243" s="111"/>
      <c r="M1243" s="73"/>
      <c r="N1243" s="112"/>
      <c r="O1243" s="111"/>
      <c r="P1243" s="312">
        <v>0</v>
      </c>
      <c r="Q1243" s="288">
        <f t="shared" si="61"/>
        <v>0</v>
      </c>
      <c r="R1243" s="118">
        <v>0</v>
      </c>
      <c r="S1243" s="283">
        <v>2016</v>
      </c>
      <c r="T1243" s="288">
        <f t="shared" si="59"/>
        <v>540137</v>
      </c>
    </row>
    <row r="1244" spans="2:20">
      <c r="B1244" s="386" t="s">
        <v>1349</v>
      </c>
      <c r="C1244" s="114"/>
      <c r="D1244" s="111" t="s">
        <v>1546</v>
      </c>
      <c r="E1244" s="111" t="s">
        <v>1994</v>
      </c>
      <c r="F1244" s="111"/>
      <c r="G1244" s="110" t="s">
        <v>2073</v>
      </c>
      <c r="H1244" s="141">
        <v>895.44248700000003</v>
      </c>
      <c r="I1244" s="280"/>
      <c r="J1244" s="72">
        <v>148.52000000000001</v>
      </c>
      <c r="K1244" s="271">
        <f t="shared" si="60"/>
        <v>132991.11816924001</v>
      </c>
      <c r="L1244" s="111"/>
      <c r="M1244" s="73"/>
      <c r="N1244" s="112"/>
      <c r="O1244" s="111"/>
      <c r="P1244" s="312">
        <v>0</v>
      </c>
      <c r="Q1244" s="288">
        <f t="shared" si="61"/>
        <v>0</v>
      </c>
      <c r="R1244" s="118">
        <v>0</v>
      </c>
      <c r="S1244" s="283">
        <v>2016</v>
      </c>
      <c r="T1244" s="288">
        <f t="shared" si="59"/>
        <v>144108</v>
      </c>
    </row>
    <row r="1245" spans="2:20">
      <c r="B1245" s="386" t="s">
        <v>1350</v>
      </c>
      <c r="C1245" s="114"/>
      <c r="D1245" s="111" t="s">
        <v>1546</v>
      </c>
      <c r="E1245" s="111" t="s">
        <v>1994</v>
      </c>
      <c r="F1245" s="111"/>
      <c r="G1245" s="110" t="s">
        <v>2073</v>
      </c>
      <c r="H1245" s="141">
        <v>236.36704599999999</v>
      </c>
      <c r="I1245" s="280"/>
      <c r="J1245" s="72">
        <v>148.52000000000001</v>
      </c>
      <c r="K1245" s="271">
        <f t="shared" si="60"/>
        <v>35105.233671920003</v>
      </c>
      <c r="L1245" s="111"/>
      <c r="M1245" s="73"/>
      <c r="N1245" s="112"/>
      <c r="O1245" s="111"/>
      <c r="P1245" s="312">
        <v>0</v>
      </c>
      <c r="Q1245" s="288">
        <f t="shared" si="61"/>
        <v>0</v>
      </c>
      <c r="R1245" s="118">
        <v>0</v>
      </c>
      <c r="S1245" s="283">
        <v>2016</v>
      </c>
      <c r="T1245" s="288">
        <f t="shared" si="59"/>
        <v>38040</v>
      </c>
    </row>
    <row r="1246" spans="2:20">
      <c r="B1246" s="386" t="s">
        <v>1351</v>
      </c>
      <c r="C1246" s="114"/>
      <c r="D1246" s="111" t="s">
        <v>1546</v>
      </c>
      <c r="E1246" s="111" t="s">
        <v>1995</v>
      </c>
      <c r="F1246" s="111"/>
      <c r="G1246" s="110" t="s">
        <v>2073</v>
      </c>
      <c r="H1246" s="141">
        <v>349.65882499999998</v>
      </c>
      <c r="I1246" s="280"/>
      <c r="J1246" s="72">
        <v>148.52000000000001</v>
      </c>
      <c r="K1246" s="271">
        <f t="shared" si="60"/>
        <v>51931.328689000002</v>
      </c>
      <c r="L1246" s="111"/>
      <c r="M1246" s="73"/>
      <c r="N1246" s="112"/>
      <c r="O1246" s="111"/>
      <c r="P1246" s="312">
        <v>0</v>
      </c>
      <c r="Q1246" s="288">
        <f t="shared" si="61"/>
        <v>0</v>
      </c>
      <c r="R1246" s="118">
        <v>0</v>
      </c>
      <c r="S1246" s="283">
        <v>2016</v>
      </c>
      <c r="T1246" s="288">
        <f t="shared" si="59"/>
        <v>56272</v>
      </c>
    </row>
    <row r="1247" spans="2:20">
      <c r="B1247" s="386" t="s">
        <v>1352</v>
      </c>
      <c r="C1247" s="114"/>
      <c r="D1247" s="111" t="s">
        <v>1546</v>
      </c>
      <c r="E1247" s="111" t="s">
        <v>1996</v>
      </c>
      <c r="F1247" s="111"/>
      <c r="G1247" s="110" t="s">
        <v>2073</v>
      </c>
      <c r="H1247" s="141">
        <v>163.82186899999999</v>
      </c>
      <c r="I1247" s="280"/>
      <c r="J1247" s="72">
        <v>148.52000000000001</v>
      </c>
      <c r="K1247" s="271">
        <f t="shared" si="60"/>
        <v>24330.82398388</v>
      </c>
      <c r="L1247" s="111"/>
      <c r="M1247" s="73"/>
      <c r="N1247" s="112"/>
      <c r="O1247" s="111"/>
      <c r="P1247" s="312">
        <v>0</v>
      </c>
      <c r="Q1247" s="288">
        <f t="shared" si="61"/>
        <v>0</v>
      </c>
      <c r="R1247" s="118">
        <v>0</v>
      </c>
      <c r="S1247" s="283">
        <v>2016</v>
      </c>
      <c r="T1247" s="288">
        <f t="shared" si="59"/>
        <v>26365</v>
      </c>
    </row>
    <row r="1248" spans="2:20">
      <c r="B1248" s="386" t="s">
        <v>1353</v>
      </c>
      <c r="C1248" s="114"/>
      <c r="D1248" s="111" t="s">
        <v>1546</v>
      </c>
      <c r="E1248" s="111" t="s">
        <v>1996</v>
      </c>
      <c r="F1248" s="111"/>
      <c r="G1248" s="110" t="s">
        <v>2073</v>
      </c>
      <c r="H1248" s="141">
        <v>4396.9513790000001</v>
      </c>
      <c r="I1248" s="280"/>
      <c r="J1248" s="72">
        <v>148.52000000000001</v>
      </c>
      <c r="K1248" s="271">
        <f t="shared" si="60"/>
        <v>653035.21880908008</v>
      </c>
      <c r="L1248" s="111"/>
      <c r="M1248" s="73"/>
      <c r="N1248" s="112"/>
      <c r="O1248" s="111"/>
      <c r="P1248" s="312">
        <v>0</v>
      </c>
      <c r="Q1248" s="288">
        <f t="shared" si="61"/>
        <v>0</v>
      </c>
      <c r="R1248" s="118">
        <v>0</v>
      </c>
      <c r="S1248" s="283">
        <v>2016</v>
      </c>
      <c r="T1248" s="288">
        <f t="shared" si="59"/>
        <v>707622</v>
      </c>
    </row>
    <row r="1249" spans="2:20">
      <c r="B1249" s="386" t="s">
        <v>1354</v>
      </c>
      <c r="C1249" s="114"/>
      <c r="D1249" s="111" t="s">
        <v>1546</v>
      </c>
      <c r="E1249" s="111" t="s">
        <v>1996</v>
      </c>
      <c r="F1249" s="111"/>
      <c r="G1249" s="110" t="s">
        <v>2073</v>
      </c>
      <c r="H1249" s="141">
        <v>220.214663</v>
      </c>
      <c r="I1249" s="280"/>
      <c r="J1249" s="72">
        <v>148.52000000000001</v>
      </c>
      <c r="K1249" s="271">
        <f t="shared" si="60"/>
        <v>32706.281748760004</v>
      </c>
      <c r="L1249" s="111"/>
      <c r="M1249" s="73"/>
      <c r="N1249" s="112"/>
      <c r="O1249" s="111"/>
      <c r="P1249" s="312">
        <v>0</v>
      </c>
      <c r="Q1249" s="288">
        <f t="shared" si="61"/>
        <v>0</v>
      </c>
      <c r="R1249" s="118">
        <v>0</v>
      </c>
      <c r="S1249" s="283">
        <v>2016</v>
      </c>
      <c r="T1249" s="288">
        <f t="shared" si="59"/>
        <v>35440</v>
      </c>
    </row>
    <row r="1250" spans="2:20">
      <c r="B1250" s="386" t="s">
        <v>1355</v>
      </c>
      <c r="C1250" s="114"/>
      <c r="D1250" s="111" t="s">
        <v>1546</v>
      </c>
      <c r="E1250" s="111" t="s">
        <v>1996</v>
      </c>
      <c r="F1250" s="111"/>
      <c r="G1250" s="110" t="s">
        <v>2073</v>
      </c>
      <c r="H1250" s="141">
        <v>46.400064999999998</v>
      </c>
      <c r="I1250" s="280"/>
      <c r="J1250" s="72">
        <v>148.52000000000001</v>
      </c>
      <c r="K1250" s="271">
        <f t="shared" si="60"/>
        <v>6891.3376538000002</v>
      </c>
      <c r="L1250" s="111"/>
      <c r="M1250" s="73"/>
      <c r="N1250" s="112"/>
      <c r="O1250" s="111"/>
      <c r="P1250" s="312">
        <v>0</v>
      </c>
      <c r="Q1250" s="288">
        <f t="shared" si="61"/>
        <v>0</v>
      </c>
      <c r="R1250" s="118">
        <v>0</v>
      </c>
      <c r="S1250" s="283">
        <v>2016</v>
      </c>
      <c r="T1250" s="288">
        <f t="shared" si="59"/>
        <v>7467</v>
      </c>
    </row>
    <row r="1251" spans="2:20">
      <c r="B1251" s="386" t="s">
        <v>1356</v>
      </c>
      <c r="C1251" s="114"/>
      <c r="D1251" s="111" t="s">
        <v>1546</v>
      </c>
      <c r="E1251" s="111" t="s">
        <v>1996</v>
      </c>
      <c r="F1251" s="111"/>
      <c r="G1251" s="110" t="s">
        <v>2073</v>
      </c>
      <c r="H1251" s="141">
        <v>22.622229999999998</v>
      </c>
      <c r="I1251" s="280"/>
      <c r="J1251" s="72">
        <v>148.52000000000001</v>
      </c>
      <c r="K1251" s="271">
        <f t="shared" si="60"/>
        <v>3359.8535996000001</v>
      </c>
      <c r="L1251" s="111"/>
      <c r="M1251" s="73"/>
      <c r="N1251" s="112"/>
      <c r="O1251" s="111"/>
      <c r="P1251" s="312">
        <v>0</v>
      </c>
      <c r="Q1251" s="288">
        <f t="shared" si="61"/>
        <v>0</v>
      </c>
      <c r="R1251" s="118">
        <v>0</v>
      </c>
      <c r="S1251" s="283">
        <v>2016</v>
      </c>
      <c r="T1251" s="288">
        <f t="shared" si="59"/>
        <v>3641</v>
      </c>
    </row>
    <row r="1252" spans="2:20">
      <c r="B1252" s="386" t="s">
        <v>1357</v>
      </c>
      <c r="C1252" s="114"/>
      <c r="D1252" s="111" t="s">
        <v>1546</v>
      </c>
      <c r="E1252" s="111" t="s">
        <v>1996</v>
      </c>
      <c r="F1252" s="111"/>
      <c r="G1252" s="110" t="s">
        <v>2073</v>
      </c>
      <c r="H1252" s="141">
        <v>4964.2064030000001</v>
      </c>
      <c r="I1252" s="280"/>
      <c r="J1252" s="72">
        <v>148.52000000000001</v>
      </c>
      <c r="K1252" s="271">
        <f t="shared" si="60"/>
        <v>737283.93497356004</v>
      </c>
      <c r="L1252" s="111"/>
      <c r="M1252" s="73"/>
      <c r="N1252" s="112"/>
      <c r="O1252" s="111"/>
      <c r="P1252" s="312">
        <v>0</v>
      </c>
      <c r="Q1252" s="288">
        <f t="shared" si="61"/>
        <v>0</v>
      </c>
      <c r="R1252" s="118">
        <v>0</v>
      </c>
      <c r="S1252" s="283">
        <v>2016</v>
      </c>
      <c r="T1252" s="288">
        <f t="shared" si="59"/>
        <v>798913</v>
      </c>
    </row>
    <row r="1253" spans="2:20">
      <c r="B1253" s="386" t="s">
        <v>1358</v>
      </c>
      <c r="C1253" s="114"/>
      <c r="D1253" s="111" t="s">
        <v>1546</v>
      </c>
      <c r="E1253" s="111" t="s">
        <v>1996</v>
      </c>
      <c r="F1253" s="111"/>
      <c r="G1253" s="110" t="s">
        <v>2073</v>
      </c>
      <c r="H1253" s="141">
        <v>371.515514</v>
      </c>
      <c r="I1253" s="280"/>
      <c r="J1253" s="72">
        <v>148.52000000000001</v>
      </c>
      <c r="K1253" s="271">
        <f t="shared" si="60"/>
        <v>55177.484139280001</v>
      </c>
      <c r="L1253" s="111"/>
      <c r="M1253" s="73"/>
      <c r="N1253" s="112"/>
      <c r="O1253" s="111"/>
      <c r="P1253" s="312">
        <v>0</v>
      </c>
      <c r="Q1253" s="288">
        <f t="shared" si="61"/>
        <v>0</v>
      </c>
      <c r="R1253" s="118">
        <v>0</v>
      </c>
      <c r="S1253" s="283">
        <v>2016</v>
      </c>
      <c r="T1253" s="288">
        <f t="shared" si="59"/>
        <v>59790</v>
      </c>
    </row>
    <row r="1254" spans="2:20">
      <c r="B1254" s="386" t="s">
        <v>1359</v>
      </c>
      <c r="C1254" s="114"/>
      <c r="D1254" s="111" t="s">
        <v>1546</v>
      </c>
      <c r="E1254" s="111" t="s">
        <v>1996</v>
      </c>
      <c r="F1254" s="111"/>
      <c r="G1254" s="110" t="s">
        <v>2073</v>
      </c>
      <c r="H1254" s="141">
        <v>727.255179</v>
      </c>
      <c r="I1254" s="280"/>
      <c r="J1254" s="72">
        <v>148.52000000000001</v>
      </c>
      <c r="K1254" s="271">
        <f t="shared" si="60"/>
        <v>108011.93918508</v>
      </c>
      <c r="L1254" s="111"/>
      <c r="M1254" s="73"/>
      <c r="N1254" s="112"/>
      <c r="O1254" s="111"/>
      <c r="P1254" s="312">
        <v>0</v>
      </c>
      <c r="Q1254" s="288">
        <f t="shared" si="61"/>
        <v>0</v>
      </c>
      <c r="R1254" s="118">
        <v>0</v>
      </c>
      <c r="S1254" s="283">
        <v>2016</v>
      </c>
      <c r="T1254" s="288">
        <f t="shared" si="59"/>
        <v>117041</v>
      </c>
    </row>
    <row r="1255" spans="2:20">
      <c r="B1255" s="386" t="s">
        <v>1360</v>
      </c>
      <c r="C1255" s="114"/>
      <c r="D1255" s="111" t="s">
        <v>1546</v>
      </c>
      <c r="E1255" s="111" t="s">
        <v>1996</v>
      </c>
      <c r="F1255" s="111"/>
      <c r="G1255" s="110" t="s">
        <v>2073</v>
      </c>
      <c r="H1255" s="141">
        <v>35.479080000000003</v>
      </c>
      <c r="I1255" s="280"/>
      <c r="J1255" s="72">
        <v>148.52000000000001</v>
      </c>
      <c r="K1255" s="271">
        <f t="shared" si="60"/>
        <v>5269.3529616000005</v>
      </c>
      <c r="L1255" s="111"/>
      <c r="M1255" s="73"/>
      <c r="N1255" s="112"/>
      <c r="O1255" s="111"/>
      <c r="P1255" s="312">
        <v>0</v>
      </c>
      <c r="Q1255" s="288">
        <f t="shared" si="61"/>
        <v>0</v>
      </c>
      <c r="R1255" s="118">
        <v>0</v>
      </c>
      <c r="S1255" s="283">
        <v>2016</v>
      </c>
      <c r="T1255" s="288">
        <f t="shared" si="59"/>
        <v>5710</v>
      </c>
    </row>
    <row r="1256" spans="2:20">
      <c r="B1256" s="386" t="s">
        <v>1361</v>
      </c>
      <c r="C1256" s="114"/>
      <c r="D1256" s="111" t="s">
        <v>1546</v>
      </c>
      <c r="E1256" s="111" t="s">
        <v>1996</v>
      </c>
      <c r="F1256" s="111"/>
      <c r="G1256" s="110" t="s">
        <v>2073</v>
      </c>
      <c r="H1256" s="141">
        <v>192.79978299999999</v>
      </c>
      <c r="I1256" s="280"/>
      <c r="J1256" s="72">
        <v>148.52000000000001</v>
      </c>
      <c r="K1256" s="271">
        <f t="shared" si="60"/>
        <v>28634.623771160001</v>
      </c>
      <c r="L1256" s="111"/>
      <c r="M1256" s="73"/>
      <c r="N1256" s="112"/>
      <c r="O1256" s="111"/>
      <c r="P1256" s="312">
        <v>0</v>
      </c>
      <c r="Q1256" s="288">
        <f t="shared" si="61"/>
        <v>0</v>
      </c>
      <c r="R1256" s="118">
        <v>0</v>
      </c>
      <c r="S1256" s="283">
        <v>2016</v>
      </c>
      <c r="T1256" s="288">
        <f t="shared" si="59"/>
        <v>31028</v>
      </c>
    </row>
    <row r="1257" spans="2:20">
      <c r="B1257" s="386" t="s">
        <v>1362</v>
      </c>
      <c r="C1257" s="114"/>
      <c r="D1257" s="111" t="s">
        <v>1546</v>
      </c>
      <c r="E1257" s="111" t="s">
        <v>1996</v>
      </c>
      <c r="F1257" s="111"/>
      <c r="G1257" s="110" t="s">
        <v>2073</v>
      </c>
      <c r="H1257" s="141">
        <v>2477.8136359999999</v>
      </c>
      <c r="I1257" s="280"/>
      <c r="J1257" s="72">
        <v>148.52000000000001</v>
      </c>
      <c r="K1257" s="271">
        <f t="shared" si="60"/>
        <v>368004.88121871999</v>
      </c>
      <c r="L1257" s="111"/>
      <c r="M1257" s="73"/>
      <c r="N1257" s="112"/>
      <c r="O1257" s="111"/>
      <c r="P1257" s="312">
        <v>0</v>
      </c>
      <c r="Q1257" s="288">
        <f t="shared" si="61"/>
        <v>0</v>
      </c>
      <c r="R1257" s="118">
        <v>0</v>
      </c>
      <c r="S1257" s="283">
        <v>2016</v>
      </c>
      <c r="T1257" s="288">
        <f t="shared" si="59"/>
        <v>398766</v>
      </c>
    </row>
    <row r="1258" spans="2:20">
      <c r="B1258" s="386" t="s">
        <v>1363</v>
      </c>
      <c r="C1258" s="114"/>
      <c r="D1258" s="111" t="s">
        <v>1546</v>
      </c>
      <c r="E1258" s="111" t="s">
        <v>1997</v>
      </c>
      <c r="F1258" s="111"/>
      <c r="G1258" s="110" t="s">
        <v>2073</v>
      </c>
      <c r="H1258" s="141">
        <v>1958.7680620000001</v>
      </c>
      <c r="I1258" s="280"/>
      <c r="J1258" s="72">
        <v>148.52000000000001</v>
      </c>
      <c r="K1258" s="271">
        <f t="shared" si="60"/>
        <v>290916.23256824003</v>
      </c>
      <c r="L1258" s="111"/>
      <c r="M1258" s="73"/>
      <c r="N1258" s="112"/>
      <c r="O1258" s="111"/>
      <c r="P1258" s="312">
        <v>0</v>
      </c>
      <c r="Q1258" s="288">
        <f t="shared" si="61"/>
        <v>0</v>
      </c>
      <c r="R1258" s="118">
        <v>0</v>
      </c>
      <c r="S1258" s="283">
        <v>2016</v>
      </c>
      <c r="T1258" s="288">
        <f t="shared" si="59"/>
        <v>315234</v>
      </c>
    </row>
    <row r="1259" spans="2:20">
      <c r="B1259" s="386" t="s">
        <v>1364</v>
      </c>
      <c r="C1259" s="114"/>
      <c r="D1259" s="111" t="s">
        <v>1546</v>
      </c>
      <c r="E1259" s="111" t="s">
        <v>1997</v>
      </c>
      <c r="F1259" s="111"/>
      <c r="G1259" s="110" t="s">
        <v>2073</v>
      </c>
      <c r="H1259" s="141">
        <v>31.936866999999999</v>
      </c>
      <c r="I1259" s="280"/>
      <c r="J1259" s="72">
        <v>148.52000000000001</v>
      </c>
      <c r="K1259" s="271">
        <f t="shared" si="60"/>
        <v>4743.26348684</v>
      </c>
      <c r="L1259" s="111"/>
      <c r="M1259" s="73"/>
      <c r="N1259" s="112"/>
      <c r="O1259" s="111"/>
      <c r="P1259" s="312">
        <v>0</v>
      </c>
      <c r="Q1259" s="288">
        <f t="shared" si="61"/>
        <v>0</v>
      </c>
      <c r="R1259" s="118">
        <v>0</v>
      </c>
      <c r="S1259" s="283">
        <v>2016</v>
      </c>
      <c r="T1259" s="288">
        <f t="shared" si="59"/>
        <v>5140</v>
      </c>
    </row>
    <row r="1260" spans="2:20">
      <c r="B1260" s="386" t="s">
        <v>1365</v>
      </c>
      <c r="C1260" s="114"/>
      <c r="D1260" s="111" t="s">
        <v>1546</v>
      </c>
      <c r="E1260" s="111" t="s">
        <v>1998</v>
      </c>
      <c r="F1260" s="111"/>
      <c r="G1260" s="110" t="s">
        <v>2073</v>
      </c>
      <c r="H1260" s="141">
        <v>457.09474499999999</v>
      </c>
      <c r="I1260" s="280"/>
      <c r="J1260" s="72">
        <v>148.52000000000001</v>
      </c>
      <c r="K1260" s="271">
        <f t="shared" si="60"/>
        <v>67887.71152740001</v>
      </c>
      <c r="L1260" s="111"/>
      <c r="M1260" s="73"/>
      <c r="N1260" s="112"/>
      <c r="O1260" s="111"/>
      <c r="P1260" s="312">
        <v>0</v>
      </c>
      <c r="Q1260" s="288">
        <f t="shared" si="61"/>
        <v>0</v>
      </c>
      <c r="R1260" s="118">
        <v>0</v>
      </c>
      <c r="S1260" s="283">
        <v>2016</v>
      </c>
      <c r="T1260" s="288">
        <f t="shared" si="59"/>
        <v>73562</v>
      </c>
    </row>
    <row r="1261" spans="2:20">
      <c r="B1261" s="386" t="s">
        <v>1366</v>
      </c>
      <c r="C1261" s="114"/>
      <c r="D1261" s="111" t="s">
        <v>1547</v>
      </c>
      <c r="E1261" s="111" t="s">
        <v>1999</v>
      </c>
      <c r="F1261" s="111"/>
      <c r="G1261" s="110" t="s">
        <v>2073</v>
      </c>
      <c r="H1261" s="141">
        <v>505.78968900000001</v>
      </c>
      <c r="I1261" s="280"/>
      <c r="J1261" s="72">
        <v>148.52000000000001</v>
      </c>
      <c r="K1261" s="271">
        <f t="shared" si="60"/>
        <v>75119.884610280002</v>
      </c>
      <c r="L1261" s="111"/>
      <c r="M1261" s="73"/>
      <c r="N1261" s="112"/>
      <c r="O1261" s="111"/>
      <c r="P1261" s="312">
        <v>0</v>
      </c>
      <c r="Q1261" s="288">
        <f t="shared" si="61"/>
        <v>0</v>
      </c>
      <c r="R1261" s="118">
        <v>0</v>
      </c>
      <c r="S1261" s="283">
        <v>2016</v>
      </c>
      <c r="T1261" s="288">
        <f t="shared" si="59"/>
        <v>81399</v>
      </c>
    </row>
    <row r="1262" spans="2:20">
      <c r="B1262" s="386" t="s">
        <v>1367</v>
      </c>
      <c r="C1262" s="114"/>
      <c r="D1262" s="111" t="s">
        <v>1546</v>
      </c>
      <c r="E1262" s="111" t="s">
        <v>2000</v>
      </c>
      <c r="F1262" s="111"/>
      <c r="G1262" s="110" t="s">
        <v>2073</v>
      </c>
      <c r="H1262" s="141">
        <v>1060.0588560000001</v>
      </c>
      <c r="I1262" s="280"/>
      <c r="J1262" s="72">
        <v>148.52000000000001</v>
      </c>
      <c r="K1262" s="271">
        <f t="shared" si="60"/>
        <v>157439.94129312003</v>
      </c>
      <c r="L1262" s="111"/>
      <c r="M1262" s="73"/>
      <c r="N1262" s="112"/>
      <c r="O1262" s="111"/>
      <c r="P1262" s="312">
        <v>0</v>
      </c>
      <c r="Q1262" s="288">
        <f t="shared" si="61"/>
        <v>0</v>
      </c>
      <c r="R1262" s="118">
        <v>0</v>
      </c>
      <c r="S1262" s="283">
        <v>2016</v>
      </c>
      <c r="T1262" s="288">
        <f t="shared" si="59"/>
        <v>170600</v>
      </c>
    </row>
    <row r="1263" spans="2:20">
      <c r="B1263" s="386" t="s">
        <v>1368</v>
      </c>
      <c r="C1263" s="114"/>
      <c r="D1263" s="111" t="s">
        <v>1546</v>
      </c>
      <c r="E1263" s="111" t="s">
        <v>2000</v>
      </c>
      <c r="F1263" s="111"/>
      <c r="G1263" s="110" t="s">
        <v>2073</v>
      </c>
      <c r="H1263" s="141">
        <v>922.70880899999997</v>
      </c>
      <c r="I1263" s="280"/>
      <c r="J1263" s="72">
        <v>148.52000000000001</v>
      </c>
      <c r="K1263" s="271">
        <f t="shared" si="60"/>
        <v>137040.71231268</v>
      </c>
      <c r="L1263" s="111"/>
      <c r="M1263" s="73"/>
      <c r="N1263" s="112"/>
      <c r="O1263" s="111"/>
      <c r="P1263" s="312">
        <v>0</v>
      </c>
      <c r="Q1263" s="288">
        <f t="shared" si="61"/>
        <v>0</v>
      </c>
      <c r="R1263" s="118">
        <v>0</v>
      </c>
      <c r="S1263" s="283">
        <v>2016</v>
      </c>
      <c r="T1263" s="288">
        <f t="shared" si="59"/>
        <v>148496</v>
      </c>
    </row>
    <row r="1264" spans="2:20">
      <c r="B1264" s="386" t="s">
        <v>1369</v>
      </c>
      <c r="C1264" s="114"/>
      <c r="D1264" s="111" t="s">
        <v>1547</v>
      </c>
      <c r="E1264" s="111" t="s">
        <v>2001</v>
      </c>
      <c r="F1264" s="111"/>
      <c r="G1264" s="110" t="s">
        <v>2073</v>
      </c>
      <c r="H1264" s="141">
        <v>242.915921</v>
      </c>
      <c r="I1264" s="280"/>
      <c r="J1264" s="72">
        <v>148.52000000000001</v>
      </c>
      <c r="K1264" s="271">
        <f t="shared" si="60"/>
        <v>36077.872586919999</v>
      </c>
      <c r="L1264" s="111"/>
      <c r="M1264" s="73"/>
      <c r="N1264" s="112"/>
      <c r="O1264" s="111"/>
      <c r="P1264" s="312">
        <v>0</v>
      </c>
      <c r="Q1264" s="288">
        <f t="shared" si="61"/>
        <v>0</v>
      </c>
      <c r="R1264" s="118">
        <v>0</v>
      </c>
      <c r="S1264" s="283">
        <v>2016</v>
      </c>
      <c r="T1264" s="288">
        <f t="shared" si="59"/>
        <v>39094</v>
      </c>
    </row>
    <row r="1265" spans="2:20">
      <c r="B1265" s="386" t="s">
        <v>1370</v>
      </c>
      <c r="C1265" s="114"/>
      <c r="D1265" s="111" t="s">
        <v>1547</v>
      </c>
      <c r="E1265" s="111" t="s">
        <v>2001</v>
      </c>
      <c r="F1265" s="111"/>
      <c r="G1265" s="110" t="s">
        <v>2073</v>
      </c>
      <c r="H1265" s="141">
        <v>359.16300000000001</v>
      </c>
      <c r="I1265" s="280"/>
      <c r="J1265" s="72">
        <v>148.52000000000001</v>
      </c>
      <c r="K1265" s="271">
        <f t="shared" si="60"/>
        <v>53342.888760000009</v>
      </c>
      <c r="L1265" s="111"/>
      <c r="M1265" s="73"/>
      <c r="N1265" s="112"/>
      <c r="O1265" s="111"/>
      <c r="P1265" s="312">
        <v>0</v>
      </c>
      <c r="Q1265" s="288">
        <f t="shared" si="61"/>
        <v>0</v>
      </c>
      <c r="R1265" s="118">
        <v>0</v>
      </c>
      <c r="S1265" s="283">
        <v>2016</v>
      </c>
      <c r="T1265" s="288">
        <f t="shared" si="59"/>
        <v>57802</v>
      </c>
    </row>
    <row r="1266" spans="2:20">
      <c r="B1266" s="386" t="s">
        <v>1371</v>
      </c>
      <c r="C1266" s="114"/>
      <c r="D1266" s="111" t="s">
        <v>1547</v>
      </c>
      <c r="E1266" s="111" t="s">
        <v>2001</v>
      </c>
      <c r="F1266" s="111"/>
      <c r="G1266" s="110" t="s">
        <v>2073</v>
      </c>
      <c r="H1266" s="141">
        <v>861.52208800000005</v>
      </c>
      <c r="I1266" s="280"/>
      <c r="J1266" s="72">
        <v>148.52000000000001</v>
      </c>
      <c r="K1266" s="271">
        <f t="shared" si="60"/>
        <v>127953.26050976002</v>
      </c>
      <c r="L1266" s="111"/>
      <c r="M1266" s="73"/>
      <c r="N1266" s="112"/>
      <c r="O1266" s="111"/>
      <c r="P1266" s="312">
        <v>0</v>
      </c>
      <c r="Q1266" s="288">
        <f t="shared" si="61"/>
        <v>0</v>
      </c>
      <c r="R1266" s="118">
        <v>0</v>
      </c>
      <c r="S1266" s="283">
        <v>2016</v>
      </c>
      <c r="T1266" s="288">
        <f t="shared" si="59"/>
        <v>138649</v>
      </c>
    </row>
    <row r="1267" spans="2:20">
      <c r="B1267" s="386" t="s">
        <v>1372</v>
      </c>
      <c r="C1267" s="114"/>
      <c r="D1267" s="111" t="s">
        <v>1546</v>
      </c>
      <c r="E1267" s="111" t="s">
        <v>1996</v>
      </c>
      <c r="F1267" s="111"/>
      <c r="G1267" s="110" t="s">
        <v>2073</v>
      </c>
      <c r="H1267" s="141">
        <v>494.15879200000001</v>
      </c>
      <c r="I1267" s="280"/>
      <c r="J1267" s="72">
        <v>148.52000000000001</v>
      </c>
      <c r="K1267" s="271">
        <f t="shared" si="60"/>
        <v>73392.46378784001</v>
      </c>
      <c r="L1267" s="111"/>
      <c r="M1267" s="73"/>
      <c r="N1267" s="112"/>
      <c r="O1267" s="111"/>
      <c r="P1267" s="312">
        <v>0</v>
      </c>
      <c r="Q1267" s="288">
        <f t="shared" si="61"/>
        <v>0</v>
      </c>
      <c r="R1267" s="118">
        <v>0</v>
      </c>
      <c r="S1267" s="283">
        <v>2016</v>
      </c>
      <c r="T1267" s="288">
        <f t="shared" si="59"/>
        <v>79527</v>
      </c>
    </row>
    <row r="1268" spans="2:20">
      <c r="B1268" s="386" t="s">
        <v>1373</v>
      </c>
      <c r="C1268" s="114"/>
      <c r="D1268" s="111" t="s">
        <v>1546</v>
      </c>
      <c r="E1268" s="111" t="s">
        <v>1996</v>
      </c>
      <c r="F1268" s="111"/>
      <c r="G1268" s="110" t="s">
        <v>2073</v>
      </c>
      <c r="H1268" s="141">
        <v>144.673237</v>
      </c>
      <c r="I1268" s="280"/>
      <c r="J1268" s="72">
        <v>148.52000000000001</v>
      </c>
      <c r="K1268" s="271">
        <f t="shared" si="60"/>
        <v>21486.869159240003</v>
      </c>
      <c r="L1268" s="111"/>
      <c r="M1268" s="73"/>
      <c r="N1268" s="112"/>
      <c r="O1268" s="111"/>
      <c r="P1268" s="312">
        <v>0</v>
      </c>
      <c r="Q1268" s="288">
        <f t="shared" si="61"/>
        <v>0</v>
      </c>
      <c r="R1268" s="118">
        <v>0</v>
      </c>
      <c r="S1268" s="283">
        <v>2016</v>
      </c>
      <c r="T1268" s="288">
        <f t="shared" si="59"/>
        <v>23283</v>
      </c>
    </row>
    <row r="1269" spans="2:20">
      <c r="B1269" s="386" t="s">
        <v>1374</v>
      </c>
      <c r="C1269" s="114"/>
      <c r="D1269" s="111" t="s">
        <v>1546</v>
      </c>
      <c r="E1269" s="111" t="s">
        <v>1996</v>
      </c>
      <c r="F1269" s="111"/>
      <c r="G1269" s="110" t="s">
        <v>2073</v>
      </c>
      <c r="H1269" s="141">
        <v>443.66171800000001</v>
      </c>
      <c r="I1269" s="280"/>
      <c r="J1269" s="72">
        <v>148.52000000000001</v>
      </c>
      <c r="K1269" s="271">
        <f t="shared" si="60"/>
        <v>65892.638357360003</v>
      </c>
      <c r="L1269" s="111"/>
      <c r="M1269" s="73"/>
      <c r="N1269" s="112"/>
      <c r="O1269" s="111"/>
      <c r="P1269" s="312">
        <v>0</v>
      </c>
      <c r="Q1269" s="288">
        <f t="shared" si="61"/>
        <v>0</v>
      </c>
      <c r="R1269" s="118">
        <v>0</v>
      </c>
      <c r="S1269" s="283">
        <v>2016</v>
      </c>
      <c r="T1269" s="288">
        <f t="shared" si="59"/>
        <v>71401</v>
      </c>
    </row>
    <row r="1270" spans="2:20">
      <c r="B1270" s="386" t="s">
        <v>1375</v>
      </c>
      <c r="C1270" s="114"/>
      <c r="D1270" s="111" t="s">
        <v>1546</v>
      </c>
      <c r="E1270" s="111" t="s">
        <v>1996</v>
      </c>
      <c r="F1270" s="111"/>
      <c r="G1270" s="110" t="s">
        <v>2073</v>
      </c>
      <c r="H1270" s="141">
        <v>1503.3692779999999</v>
      </c>
      <c r="I1270" s="280"/>
      <c r="J1270" s="72">
        <v>148.52000000000001</v>
      </c>
      <c r="K1270" s="271">
        <f t="shared" si="60"/>
        <v>223280.40516856001</v>
      </c>
      <c r="L1270" s="111"/>
      <c r="M1270" s="73"/>
      <c r="N1270" s="112"/>
      <c r="O1270" s="111"/>
      <c r="P1270" s="312">
        <v>0</v>
      </c>
      <c r="Q1270" s="288">
        <f t="shared" si="61"/>
        <v>0</v>
      </c>
      <c r="R1270" s="118">
        <v>0</v>
      </c>
      <c r="S1270" s="283">
        <v>2016</v>
      </c>
      <c r="T1270" s="288">
        <f t="shared" si="59"/>
        <v>241944</v>
      </c>
    </row>
    <row r="1271" spans="2:20">
      <c r="B1271" s="386" t="s">
        <v>1376</v>
      </c>
      <c r="C1271" s="114"/>
      <c r="D1271" s="111" t="s">
        <v>1546</v>
      </c>
      <c r="E1271" s="111" t="s">
        <v>2002</v>
      </c>
      <c r="F1271" s="111"/>
      <c r="G1271" s="110" t="s">
        <v>2073</v>
      </c>
      <c r="H1271" s="141">
        <v>2708.6411720000001</v>
      </c>
      <c r="I1271" s="280"/>
      <c r="J1271" s="72">
        <v>148.52000000000001</v>
      </c>
      <c r="K1271" s="271">
        <f t="shared" si="60"/>
        <v>402287.38686544006</v>
      </c>
      <c r="L1271" s="111"/>
      <c r="M1271" s="73"/>
      <c r="N1271" s="112"/>
      <c r="O1271" s="111"/>
      <c r="P1271" s="312">
        <v>0</v>
      </c>
      <c r="Q1271" s="288">
        <f t="shared" si="61"/>
        <v>0</v>
      </c>
      <c r="R1271" s="118">
        <v>0</v>
      </c>
      <c r="S1271" s="283">
        <v>2016</v>
      </c>
      <c r="T1271" s="288">
        <f t="shared" si="59"/>
        <v>435914</v>
      </c>
    </row>
    <row r="1272" spans="2:20">
      <c r="B1272" s="386" t="s">
        <v>1377</v>
      </c>
      <c r="C1272" s="114"/>
      <c r="D1272" s="111" t="s">
        <v>1546</v>
      </c>
      <c r="E1272" s="111" t="s">
        <v>2003</v>
      </c>
      <c r="F1272" s="111"/>
      <c r="G1272" s="110" t="s">
        <v>2073</v>
      </c>
      <c r="H1272" s="141">
        <v>932.08479399999999</v>
      </c>
      <c r="I1272" s="280"/>
      <c r="J1272" s="72">
        <v>148.52000000000001</v>
      </c>
      <c r="K1272" s="271">
        <f t="shared" si="60"/>
        <v>138433.23360488002</v>
      </c>
      <c r="L1272" s="111"/>
      <c r="M1272" s="73"/>
      <c r="N1272" s="112"/>
      <c r="O1272" s="111"/>
      <c r="P1272" s="312">
        <v>0</v>
      </c>
      <c r="Q1272" s="288">
        <f t="shared" si="61"/>
        <v>0</v>
      </c>
      <c r="R1272" s="118">
        <v>0</v>
      </c>
      <c r="S1272" s="283">
        <v>2016</v>
      </c>
      <c r="T1272" s="288">
        <f t="shared" si="59"/>
        <v>150005</v>
      </c>
    </row>
    <row r="1273" spans="2:20">
      <c r="B1273" s="386" t="s">
        <v>1378</v>
      </c>
      <c r="C1273" s="114"/>
      <c r="D1273" s="111" t="s">
        <v>1546</v>
      </c>
      <c r="E1273" s="111" t="s">
        <v>2004</v>
      </c>
      <c r="F1273" s="111"/>
      <c r="G1273" s="110" t="s">
        <v>2073</v>
      </c>
      <c r="H1273" s="141">
        <v>220.27848499999999</v>
      </c>
      <c r="I1273" s="280"/>
      <c r="J1273" s="72">
        <v>148.52000000000001</v>
      </c>
      <c r="K1273" s="271">
        <f t="shared" si="60"/>
        <v>32715.7605922</v>
      </c>
      <c r="L1273" s="111"/>
      <c r="M1273" s="73"/>
      <c r="N1273" s="112"/>
      <c r="O1273" s="111"/>
      <c r="P1273" s="312">
        <v>0</v>
      </c>
      <c r="Q1273" s="288">
        <f t="shared" si="61"/>
        <v>0</v>
      </c>
      <c r="R1273" s="118">
        <v>0</v>
      </c>
      <c r="S1273" s="283">
        <v>2016</v>
      </c>
      <c r="T1273" s="288">
        <f t="shared" si="59"/>
        <v>35450</v>
      </c>
    </row>
    <row r="1274" spans="2:20">
      <c r="B1274" s="386" t="s">
        <v>1379</v>
      </c>
      <c r="C1274" s="114"/>
      <c r="D1274" s="111" t="s">
        <v>1546</v>
      </c>
      <c r="E1274" s="111" t="s">
        <v>2005</v>
      </c>
      <c r="F1274" s="111"/>
      <c r="G1274" s="110" t="s">
        <v>2073</v>
      </c>
      <c r="H1274" s="141">
        <v>397.16516799999999</v>
      </c>
      <c r="I1274" s="280"/>
      <c r="J1274" s="72">
        <v>148.52000000000001</v>
      </c>
      <c r="K1274" s="271">
        <f t="shared" si="60"/>
        <v>58986.970751360001</v>
      </c>
      <c r="L1274" s="111"/>
      <c r="M1274" s="73"/>
      <c r="N1274" s="112"/>
      <c r="O1274" s="111"/>
      <c r="P1274" s="312">
        <v>0</v>
      </c>
      <c r="Q1274" s="288">
        <f t="shared" si="61"/>
        <v>0</v>
      </c>
      <c r="R1274" s="118">
        <v>0</v>
      </c>
      <c r="S1274" s="283">
        <v>2016</v>
      </c>
      <c r="T1274" s="288">
        <f t="shared" si="59"/>
        <v>63918</v>
      </c>
    </row>
    <row r="1275" spans="2:20">
      <c r="B1275" s="386" t="s">
        <v>1380</v>
      </c>
      <c r="C1275" s="114"/>
      <c r="D1275" s="111" t="s">
        <v>1546</v>
      </c>
      <c r="E1275" s="111" t="s">
        <v>2006</v>
      </c>
      <c r="F1275" s="111"/>
      <c r="G1275" s="110" t="s">
        <v>2074</v>
      </c>
      <c r="H1275" s="141">
        <v>1144.9841650000001</v>
      </c>
      <c r="I1275" s="280"/>
      <c r="J1275" s="72">
        <v>148.52000000000001</v>
      </c>
      <c r="K1275" s="271">
        <f t="shared" si="60"/>
        <v>170053.04818580003</v>
      </c>
      <c r="L1275" s="111"/>
      <c r="M1275" s="73"/>
      <c r="N1275" s="112"/>
      <c r="O1275" s="111"/>
      <c r="P1275" s="312">
        <v>0</v>
      </c>
      <c r="Q1275" s="288">
        <f t="shared" si="61"/>
        <v>0</v>
      </c>
      <c r="R1275" s="118">
        <v>0</v>
      </c>
      <c r="S1275" s="283">
        <v>2016</v>
      </c>
      <c r="T1275" s="288">
        <f t="shared" si="59"/>
        <v>184268</v>
      </c>
    </row>
    <row r="1276" spans="2:20">
      <c r="B1276" s="386" t="s">
        <v>1381</v>
      </c>
      <c r="C1276" s="114"/>
      <c r="D1276" s="111" t="s">
        <v>1546</v>
      </c>
      <c r="E1276" s="111" t="s">
        <v>2006</v>
      </c>
      <c r="F1276" s="111"/>
      <c r="G1276" s="110" t="s">
        <v>2074</v>
      </c>
      <c r="H1276" s="141">
        <v>117.670649</v>
      </c>
      <c r="I1276" s="280"/>
      <c r="J1276" s="72">
        <v>148.52000000000001</v>
      </c>
      <c r="K1276" s="271">
        <f t="shared" si="60"/>
        <v>17476.44478948</v>
      </c>
      <c r="L1276" s="111"/>
      <c r="M1276" s="73"/>
      <c r="N1276" s="112"/>
      <c r="O1276" s="111"/>
      <c r="P1276" s="312">
        <v>0</v>
      </c>
      <c r="Q1276" s="288">
        <f t="shared" si="61"/>
        <v>0</v>
      </c>
      <c r="R1276" s="118">
        <v>0</v>
      </c>
      <c r="S1276" s="283">
        <v>2016</v>
      </c>
      <c r="T1276" s="288">
        <f t="shared" si="59"/>
        <v>18937</v>
      </c>
    </row>
    <row r="1277" spans="2:20">
      <c r="B1277" s="386" t="s">
        <v>1382</v>
      </c>
      <c r="C1277" s="114"/>
      <c r="D1277" s="111" t="s">
        <v>1546</v>
      </c>
      <c r="E1277" s="111" t="s">
        <v>2006</v>
      </c>
      <c r="F1277" s="111"/>
      <c r="G1277" s="110" t="s">
        <v>2074</v>
      </c>
      <c r="H1277" s="141">
        <v>57.784180999999997</v>
      </c>
      <c r="I1277" s="280"/>
      <c r="J1277" s="72">
        <v>148.52000000000001</v>
      </c>
      <c r="K1277" s="271">
        <f t="shared" si="60"/>
        <v>8582.1065621199996</v>
      </c>
      <c r="L1277" s="111"/>
      <c r="M1277" s="73"/>
      <c r="N1277" s="112"/>
      <c r="O1277" s="111"/>
      <c r="P1277" s="312">
        <v>0</v>
      </c>
      <c r="Q1277" s="288">
        <f t="shared" si="61"/>
        <v>0</v>
      </c>
      <c r="R1277" s="118">
        <v>0</v>
      </c>
      <c r="S1277" s="283">
        <v>2016</v>
      </c>
      <c r="T1277" s="288">
        <f t="shared" si="59"/>
        <v>9299</v>
      </c>
    </row>
    <row r="1278" spans="2:20">
      <c r="B1278" s="386" t="s">
        <v>1383</v>
      </c>
      <c r="C1278" s="114"/>
      <c r="D1278" s="111" t="s">
        <v>1546</v>
      </c>
      <c r="E1278" s="111" t="s">
        <v>2006</v>
      </c>
      <c r="F1278" s="111"/>
      <c r="G1278" s="110" t="s">
        <v>2073</v>
      </c>
      <c r="H1278" s="141">
        <v>614.63173900000004</v>
      </c>
      <c r="I1278" s="280"/>
      <c r="J1278" s="72">
        <v>148.52000000000001</v>
      </c>
      <c r="K1278" s="271">
        <f t="shared" si="60"/>
        <v>91285.105876280009</v>
      </c>
      <c r="L1278" s="111"/>
      <c r="M1278" s="73"/>
      <c r="N1278" s="112"/>
      <c r="O1278" s="111"/>
      <c r="P1278" s="312">
        <v>0</v>
      </c>
      <c r="Q1278" s="288">
        <f t="shared" si="61"/>
        <v>0</v>
      </c>
      <c r="R1278" s="118">
        <v>0</v>
      </c>
      <c r="S1278" s="283">
        <v>2016</v>
      </c>
      <c r="T1278" s="288">
        <f t="shared" si="59"/>
        <v>98916</v>
      </c>
    </row>
    <row r="1279" spans="2:20">
      <c r="B1279" s="386" t="s">
        <v>1384</v>
      </c>
      <c r="C1279" s="114"/>
      <c r="D1279" s="111" t="s">
        <v>1546</v>
      </c>
      <c r="E1279" s="111" t="s">
        <v>2006</v>
      </c>
      <c r="F1279" s="111"/>
      <c r="G1279" s="110" t="s">
        <v>2073</v>
      </c>
      <c r="H1279" s="141">
        <v>370.97404</v>
      </c>
      <c r="I1279" s="280"/>
      <c r="J1279" s="72">
        <v>148.52000000000001</v>
      </c>
      <c r="K1279" s="271">
        <f t="shared" si="60"/>
        <v>55097.064420800001</v>
      </c>
      <c r="L1279" s="111"/>
      <c r="M1279" s="73"/>
      <c r="N1279" s="112"/>
      <c r="O1279" s="111"/>
      <c r="P1279" s="312">
        <v>0</v>
      </c>
      <c r="Q1279" s="288">
        <f t="shared" si="61"/>
        <v>0</v>
      </c>
      <c r="R1279" s="118">
        <v>0</v>
      </c>
      <c r="S1279" s="283">
        <v>2016</v>
      </c>
      <c r="T1279" s="288">
        <f t="shared" si="59"/>
        <v>59703</v>
      </c>
    </row>
    <row r="1280" spans="2:20">
      <c r="B1280" s="386" t="s">
        <v>1385</v>
      </c>
      <c r="C1280" s="114"/>
      <c r="D1280" s="111" t="s">
        <v>1546</v>
      </c>
      <c r="E1280" s="111" t="s">
        <v>2007</v>
      </c>
      <c r="F1280" s="111"/>
      <c r="G1280" s="110" t="s">
        <v>2073</v>
      </c>
      <c r="H1280" s="141">
        <v>363.69043799999997</v>
      </c>
      <c r="I1280" s="280"/>
      <c r="J1280" s="72">
        <v>148.52000000000001</v>
      </c>
      <c r="K1280" s="271">
        <f t="shared" si="60"/>
        <v>54015.30385176</v>
      </c>
      <c r="L1280" s="111"/>
      <c r="M1280" s="73"/>
      <c r="N1280" s="112"/>
      <c r="O1280" s="111"/>
      <c r="P1280" s="312">
        <v>0</v>
      </c>
      <c r="Q1280" s="288">
        <f t="shared" si="61"/>
        <v>0</v>
      </c>
      <c r="R1280" s="118">
        <v>0</v>
      </c>
      <c r="S1280" s="283">
        <v>2016</v>
      </c>
      <c r="T1280" s="288">
        <f t="shared" si="59"/>
        <v>58530</v>
      </c>
    </row>
    <row r="1281" spans="2:20">
      <c r="B1281" s="386" t="s">
        <v>1386</v>
      </c>
      <c r="C1281" s="114"/>
      <c r="D1281" s="111" t="s">
        <v>1546</v>
      </c>
      <c r="E1281" s="111" t="s">
        <v>2007</v>
      </c>
      <c r="F1281" s="111"/>
      <c r="G1281" s="110" t="s">
        <v>2073</v>
      </c>
      <c r="H1281" s="141">
        <v>833.45029</v>
      </c>
      <c r="I1281" s="280"/>
      <c r="J1281" s="72">
        <v>148.52000000000001</v>
      </c>
      <c r="K1281" s="271">
        <f t="shared" si="60"/>
        <v>123784.03707080001</v>
      </c>
      <c r="L1281" s="111"/>
      <c r="M1281" s="73"/>
      <c r="N1281" s="112"/>
      <c r="O1281" s="111"/>
      <c r="P1281" s="312">
        <v>0</v>
      </c>
      <c r="Q1281" s="288">
        <f t="shared" si="61"/>
        <v>0</v>
      </c>
      <c r="R1281" s="118">
        <v>0</v>
      </c>
      <c r="S1281" s="283">
        <v>2016</v>
      </c>
      <c r="T1281" s="288">
        <f t="shared" si="59"/>
        <v>134131</v>
      </c>
    </row>
    <row r="1282" spans="2:20">
      <c r="B1282" s="386" t="s">
        <v>1387</v>
      </c>
      <c r="C1282" s="114"/>
      <c r="D1282" s="111" t="s">
        <v>1546</v>
      </c>
      <c r="E1282" s="111" t="s">
        <v>2007</v>
      </c>
      <c r="F1282" s="111"/>
      <c r="G1282" s="110" t="s">
        <v>2074</v>
      </c>
      <c r="H1282" s="141">
        <v>1820.0133470000001</v>
      </c>
      <c r="I1282" s="280"/>
      <c r="J1282" s="72">
        <v>148.52000000000001</v>
      </c>
      <c r="K1282" s="271">
        <f t="shared" si="60"/>
        <v>270308.38229644002</v>
      </c>
      <c r="L1282" s="111"/>
      <c r="M1282" s="73"/>
      <c r="N1282" s="112"/>
      <c r="O1282" s="111"/>
      <c r="P1282" s="312">
        <v>0</v>
      </c>
      <c r="Q1282" s="288">
        <f t="shared" si="61"/>
        <v>0</v>
      </c>
      <c r="R1282" s="118">
        <v>0</v>
      </c>
      <c r="S1282" s="283">
        <v>2016</v>
      </c>
      <c r="T1282" s="288">
        <f t="shared" si="59"/>
        <v>292903</v>
      </c>
    </row>
    <row r="1283" spans="2:20">
      <c r="B1283" s="386" t="s">
        <v>1388</v>
      </c>
      <c r="C1283" s="114"/>
      <c r="D1283" s="111" t="s">
        <v>1546</v>
      </c>
      <c r="E1283" s="111" t="s">
        <v>2007</v>
      </c>
      <c r="F1283" s="111"/>
      <c r="G1283" s="110" t="s">
        <v>2074</v>
      </c>
      <c r="H1283" s="141">
        <v>98.693078</v>
      </c>
      <c r="I1283" s="280"/>
      <c r="J1283" s="72">
        <v>148.52000000000001</v>
      </c>
      <c r="K1283" s="271">
        <f t="shared" si="60"/>
        <v>14657.895944560001</v>
      </c>
      <c r="L1283" s="111"/>
      <c r="M1283" s="73"/>
      <c r="N1283" s="112"/>
      <c r="O1283" s="111"/>
      <c r="P1283" s="312">
        <v>0</v>
      </c>
      <c r="Q1283" s="288">
        <f t="shared" si="61"/>
        <v>0</v>
      </c>
      <c r="R1283" s="118">
        <v>0</v>
      </c>
      <c r="S1283" s="283">
        <v>2016</v>
      </c>
      <c r="T1283" s="288">
        <f t="shared" si="59"/>
        <v>15883</v>
      </c>
    </row>
    <row r="1284" spans="2:20">
      <c r="B1284" s="386" t="s">
        <v>1389</v>
      </c>
      <c r="C1284" s="114"/>
      <c r="D1284" s="111" t="s">
        <v>1546</v>
      </c>
      <c r="E1284" s="111" t="s">
        <v>2008</v>
      </c>
      <c r="F1284" s="111"/>
      <c r="G1284" s="110" t="s">
        <v>2074</v>
      </c>
      <c r="H1284" s="141">
        <v>79.063642000000002</v>
      </c>
      <c r="I1284" s="280"/>
      <c r="J1284" s="72">
        <v>148.52000000000001</v>
      </c>
      <c r="K1284" s="271">
        <f t="shared" si="60"/>
        <v>11742.532109840002</v>
      </c>
      <c r="L1284" s="111"/>
      <c r="M1284" s="73"/>
      <c r="N1284" s="112"/>
      <c r="O1284" s="111"/>
      <c r="P1284" s="312">
        <v>0</v>
      </c>
      <c r="Q1284" s="288">
        <f t="shared" si="61"/>
        <v>0</v>
      </c>
      <c r="R1284" s="118">
        <v>0</v>
      </c>
      <c r="S1284" s="283">
        <v>2016</v>
      </c>
      <c r="T1284" s="288">
        <f t="shared" si="59"/>
        <v>12724</v>
      </c>
    </row>
    <row r="1285" spans="2:20">
      <c r="B1285" s="386" t="s">
        <v>1390</v>
      </c>
      <c r="C1285" s="114"/>
      <c r="D1285" s="111" t="s">
        <v>1546</v>
      </c>
      <c r="E1285" s="111" t="s">
        <v>2008</v>
      </c>
      <c r="F1285" s="111"/>
      <c r="G1285" s="110" t="s">
        <v>2074</v>
      </c>
      <c r="H1285" s="141">
        <v>601.135446</v>
      </c>
      <c r="I1285" s="280"/>
      <c r="J1285" s="72">
        <v>148.52000000000001</v>
      </c>
      <c r="K1285" s="271">
        <f t="shared" si="60"/>
        <v>89280.63643992001</v>
      </c>
      <c r="L1285" s="111"/>
      <c r="M1285" s="73"/>
      <c r="N1285" s="112"/>
      <c r="O1285" s="111"/>
      <c r="P1285" s="312">
        <v>0</v>
      </c>
      <c r="Q1285" s="288">
        <f t="shared" si="61"/>
        <v>0</v>
      </c>
      <c r="R1285" s="118">
        <v>0</v>
      </c>
      <c r="S1285" s="283">
        <v>2016</v>
      </c>
      <c r="T1285" s="288">
        <f t="shared" si="59"/>
        <v>96744</v>
      </c>
    </row>
    <row r="1286" spans="2:20">
      <c r="B1286" s="386" t="s">
        <v>1391</v>
      </c>
      <c r="C1286" s="114"/>
      <c r="D1286" s="111" t="s">
        <v>1546</v>
      </c>
      <c r="E1286" s="111" t="s">
        <v>2008</v>
      </c>
      <c r="F1286" s="111"/>
      <c r="G1286" s="110" t="s">
        <v>2074</v>
      </c>
      <c r="H1286" s="141">
        <v>97.469080000000005</v>
      </c>
      <c r="I1286" s="280"/>
      <c r="J1286" s="72">
        <v>148.52000000000001</v>
      </c>
      <c r="K1286" s="271">
        <f t="shared" si="60"/>
        <v>14476.107761600002</v>
      </c>
      <c r="L1286" s="111"/>
      <c r="M1286" s="73"/>
      <c r="N1286" s="112"/>
      <c r="O1286" s="111"/>
      <c r="P1286" s="312">
        <v>0</v>
      </c>
      <c r="Q1286" s="288">
        <f t="shared" si="61"/>
        <v>0</v>
      </c>
      <c r="R1286" s="118">
        <v>0</v>
      </c>
      <c r="S1286" s="283">
        <v>2016</v>
      </c>
      <c r="T1286" s="288">
        <f t="shared" si="59"/>
        <v>15686</v>
      </c>
    </row>
    <row r="1287" spans="2:20">
      <c r="B1287" s="386" t="s">
        <v>1392</v>
      </c>
      <c r="C1287" s="114"/>
      <c r="D1287" s="111" t="s">
        <v>1546</v>
      </c>
      <c r="E1287" s="111" t="s">
        <v>2009</v>
      </c>
      <c r="F1287" s="111"/>
      <c r="G1287" s="110" t="s">
        <v>2073</v>
      </c>
      <c r="H1287" s="141">
        <v>56.044746000000004</v>
      </c>
      <c r="I1287" s="280"/>
      <c r="J1287" s="72">
        <v>148.52000000000001</v>
      </c>
      <c r="K1287" s="271">
        <f t="shared" si="60"/>
        <v>8323.7656759200017</v>
      </c>
      <c r="L1287" s="111"/>
      <c r="M1287" s="73"/>
      <c r="N1287" s="112"/>
      <c r="O1287" s="111"/>
      <c r="P1287" s="312">
        <v>0</v>
      </c>
      <c r="Q1287" s="288">
        <f t="shared" si="61"/>
        <v>0</v>
      </c>
      <c r="R1287" s="118">
        <v>0</v>
      </c>
      <c r="S1287" s="283">
        <v>2016</v>
      </c>
      <c r="T1287" s="288">
        <f t="shared" si="59"/>
        <v>9020</v>
      </c>
    </row>
    <row r="1288" spans="2:20">
      <c r="B1288" s="386" t="s">
        <v>1393</v>
      </c>
      <c r="C1288" s="114"/>
      <c r="D1288" s="111" t="s">
        <v>1546</v>
      </c>
      <c r="E1288" s="111" t="s">
        <v>2009</v>
      </c>
      <c r="F1288" s="111"/>
      <c r="G1288" s="110" t="s">
        <v>2073</v>
      </c>
      <c r="H1288" s="141">
        <v>950.22357699999998</v>
      </c>
      <c r="I1288" s="280"/>
      <c r="J1288" s="72">
        <v>148.52000000000001</v>
      </c>
      <c r="K1288" s="271">
        <f t="shared" si="60"/>
        <v>141127.20565603999</v>
      </c>
      <c r="L1288" s="111"/>
      <c r="M1288" s="73"/>
      <c r="N1288" s="112"/>
      <c r="O1288" s="111"/>
      <c r="P1288" s="312">
        <v>0</v>
      </c>
      <c r="Q1288" s="288">
        <f t="shared" si="61"/>
        <v>0</v>
      </c>
      <c r="R1288" s="118">
        <v>0</v>
      </c>
      <c r="S1288" s="283">
        <v>2016</v>
      </c>
      <c r="T1288" s="288">
        <f t="shared" si="59"/>
        <v>152924</v>
      </c>
    </row>
    <row r="1289" spans="2:20">
      <c r="B1289" s="386" t="s">
        <v>1394</v>
      </c>
      <c r="C1289" s="114"/>
      <c r="D1289" s="111" t="s">
        <v>1546</v>
      </c>
      <c r="E1289" s="111" t="s">
        <v>2009</v>
      </c>
      <c r="F1289" s="111"/>
      <c r="G1289" s="110" t="s">
        <v>2073</v>
      </c>
      <c r="H1289" s="141">
        <v>24.044854000000001</v>
      </c>
      <c r="I1289" s="280"/>
      <c r="J1289" s="72">
        <v>148.52000000000001</v>
      </c>
      <c r="K1289" s="271">
        <f t="shared" si="60"/>
        <v>3571.1417160800002</v>
      </c>
      <c r="L1289" s="111"/>
      <c r="M1289" s="73"/>
      <c r="N1289" s="112"/>
      <c r="O1289" s="111"/>
      <c r="P1289" s="312">
        <v>0</v>
      </c>
      <c r="Q1289" s="288">
        <f t="shared" si="61"/>
        <v>0</v>
      </c>
      <c r="R1289" s="118">
        <v>0</v>
      </c>
      <c r="S1289" s="283">
        <v>2016</v>
      </c>
      <c r="T1289" s="288">
        <f t="shared" si="59"/>
        <v>3870</v>
      </c>
    </row>
    <row r="1290" spans="2:20">
      <c r="B1290" s="386" t="s">
        <v>1395</v>
      </c>
      <c r="C1290" s="114"/>
      <c r="D1290" s="111" t="s">
        <v>1546</v>
      </c>
      <c r="E1290" s="111" t="s">
        <v>2009</v>
      </c>
      <c r="F1290" s="111"/>
      <c r="G1290" s="110" t="s">
        <v>2073</v>
      </c>
      <c r="H1290" s="141">
        <v>172.69520399999999</v>
      </c>
      <c r="I1290" s="280"/>
      <c r="J1290" s="72">
        <v>148.52000000000001</v>
      </c>
      <c r="K1290" s="271">
        <f t="shared" si="60"/>
        <v>25648.691698080002</v>
      </c>
      <c r="L1290" s="111"/>
      <c r="M1290" s="73"/>
      <c r="N1290" s="112"/>
      <c r="O1290" s="111"/>
      <c r="P1290" s="312">
        <v>0</v>
      </c>
      <c r="Q1290" s="288">
        <f t="shared" si="61"/>
        <v>0</v>
      </c>
      <c r="R1290" s="118">
        <v>0</v>
      </c>
      <c r="S1290" s="283">
        <v>2016</v>
      </c>
      <c r="T1290" s="288">
        <f t="shared" si="59"/>
        <v>27793</v>
      </c>
    </row>
    <row r="1291" spans="2:20">
      <c r="B1291" s="386" t="s">
        <v>1396</v>
      </c>
      <c r="C1291" s="114"/>
      <c r="D1291" s="111" t="s">
        <v>1546</v>
      </c>
      <c r="E1291" s="111" t="s">
        <v>2010</v>
      </c>
      <c r="F1291" s="111"/>
      <c r="G1291" s="110" t="s">
        <v>2073</v>
      </c>
      <c r="H1291" s="141">
        <v>22.122005000000001</v>
      </c>
      <c r="I1291" s="280"/>
      <c r="J1291" s="72">
        <v>148.52000000000001</v>
      </c>
      <c r="K1291" s="271">
        <f t="shared" si="60"/>
        <v>3285.5601826000006</v>
      </c>
      <c r="L1291" s="111"/>
      <c r="M1291" s="73"/>
      <c r="N1291" s="112"/>
      <c r="O1291" s="111"/>
      <c r="P1291" s="312">
        <v>0</v>
      </c>
      <c r="Q1291" s="288">
        <f t="shared" si="61"/>
        <v>0</v>
      </c>
      <c r="R1291" s="118">
        <v>0</v>
      </c>
      <c r="S1291" s="283">
        <v>2016</v>
      </c>
      <c r="T1291" s="288">
        <f t="shared" si="59"/>
        <v>3560</v>
      </c>
    </row>
    <row r="1292" spans="2:20">
      <c r="B1292" s="386" t="s">
        <v>1397</v>
      </c>
      <c r="C1292" s="114"/>
      <c r="D1292" s="111" t="s">
        <v>1546</v>
      </c>
      <c r="E1292" s="111" t="s">
        <v>2010</v>
      </c>
      <c r="F1292" s="111"/>
      <c r="G1292" s="110" t="s">
        <v>2073</v>
      </c>
      <c r="H1292" s="141">
        <v>26.526646</v>
      </c>
      <c r="I1292" s="280"/>
      <c r="J1292" s="72">
        <v>148.52000000000001</v>
      </c>
      <c r="K1292" s="271">
        <f t="shared" si="60"/>
        <v>3939.7374639200002</v>
      </c>
      <c r="L1292" s="111"/>
      <c r="M1292" s="73"/>
      <c r="N1292" s="112"/>
      <c r="O1292" s="111"/>
      <c r="P1292" s="312">
        <v>0</v>
      </c>
      <c r="Q1292" s="288">
        <f t="shared" si="61"/>
        <v>0</v>
      </c>
      <c r="R1292" s="118">
        <v>0</v>
      </c>
      <c r="S1292" s="283">
        <v>2016</v>
      </c>
      <c r="T1292" s="288">
        <f t="shared" si="59"/>
        <v>4269</v>
      </c>
    </row>
    <row r="1293" spans="2:20">
      <c r="B1293" s="386" t="s">
        <v>1398</v>
      </c>
      <c r="C1293" s="114"/>
      <c r="D1293" s="111" t="s">
        <v>1546</v>
      </c>
      <c r="E1293" s="111" t="s">
        <v>2011</v>
      </c>
      <c r="F1293" s="111"/>
      <c r="G1293" s="110" t="s">
        <v>2073</v>
      </c>
      <c r="H1293" s="141">
        <v>11.533521</v>
      </c>
      <c r="I1293" s="280"/>
      <c r="J1293" s="72">
        <v>148.52000000000001</v>
      </c>
      <c r="K1293" s="271">
        <f t="shared" si="60"/>
        <v>1712.9585389200001</v>
      </c>
      <c r="L1293" s="111"/>
      <c r="M1293" s="73"/>
      <c r="N1293" s="112"/>
      <c r="O1293" s="111"/>
      <c r="P1293" s="312">
        <v>0</v>
      </c>
      <c r="Q1293" s="288">
        <f t="shared" si="61"/>
        <v>0</v>
      </c>
      <c r="R1293" s="118">
        <v>0</v>
      </c>
      <c r="S1293" s="283">
        <v>2016</v>
      </c>
      <c r="T1293" s="288">
        <f t="shared" ref="T1293:T1356" si="62">IFERROR(ROUND((K1293*(1+PPI_Existing)^(YEAR-S1293))+(R1293*((1+LandInd_Existing)^(YEAR-S1293))),0),0)</f>
        <v>1856</v>
      </c>
    </row>
    <row r="1294" spans="2:20">
      <c r="B1294" s="386" t="s">
        <v>1399</v>
      </c>
      <c r="C1294" s="114"/>
      <c r="D1294" s="111" t="s">
        <v>1546</v>
      </c>
      <c r="E1294" s="111" t="s">
        <v>2011</v>
      </c>
      <c r="F1294" s="111"/>
      <c r="G1294" s="110" t="s">
        <v>2073</v>
      </c>
      <c r="H1294" s="141">
        <v>4.8443990000000001</v>
      </c>
      <c r="I1294" s="280"/>
      <c r="J1294" s="72">
        <v>148.52000000000001</v>
      </c>
      <c r="K1294" s="271">
        <f t="shared" si="60"/>
        <v>719.49013948000004</v>
      </c>
      <c r="L1294" s="111"/>
      <c r="M1294" s="73"/>
      <c r="N1294" s="112"/>
      <c r="O1294" s="111"/>
      <c r="P1294" s="312">
        <v>0</v>
      </c>
      <c r="Q1294" s="288">
        <f t="shared" si="61"/>
        <v>0</v>
      </c>
      <c r="R1294" s="118">
        <v>0</v>
      </c>
      <c r="S1294" s="283">
        <v>2016</v>
      </c>
      <c r="T1294" s="288">
        <f t="shared" si="62"/>
        <v>780</v>
      </c>
    </row>
    <row r="1295" spans="2:20">
      <c r="B1295" s="386" t="s">
        <v>1400</v>
      </c>
      <c r="C1295" s="114"/>
      <c r="D1295" s="111" t="s">
        <v>1546</v>
      </c>
      <c r="E1295" s="111" t="s">
        <v>2012</v>
      </c>
      <c r="F1295" s="111"/>
      <c r="G1295" s="110" t="s">
        <v>2073</v>
      </c>
      <c r="H1295" s="141">
        <v>16.692184000000001</v>
      </c>
      <c r="I1295" s="280"/>
      <c r="J1295" s="72">
        <v>148.52000000000001</v>
      </c>
      <c r="K1295" s="271">
        <f t="shared" si="60"/>
        <v>2479.1231676800003</v>
      </c>
      <c r="L1295" s="111"/>
      <c r="M1295" s="73"/>
      <c r="N1295" s="112"/>
      <c r="O1295" s="111"/>
      <c r="P1295" s="312">
        <v>0</v>
      </c>
      <c r="Q1295" s="288">
        <f t="shared" si="61"/>
        <v>0</v>
      </c>
      <c r="R1295" s="118">
        <v>0</v>
      </c>
      <c r="S1295" s="283">
        <v>2016</v>
      </c>
      <c r="T1295" s="288">
        <f t="shared" si="62"/>
        <v>2686</v>
      </c>
    </row>
    <row r="1296" spans="2:20">
      <c r="B1296" s="386" t="s">
        <v>1401</v>
      </c>
      <c r="C1296" s="114"/>
      <c r="D1296" s="111" t="s">
        <v>1547</v>
      </c>
      <c r="E1296" s="111" t="s">
        <v>2013</v>
      </c>
      <c r="F1296" s="111"/>
      <c r="G1296" s="110" t="s">
        <v>2073</v>
      </c>
      <c r="H1296" s="141">
        <v>954.43672500000002</v>
      </c>
      <c r="I1296" s="280"/>
      <c r="J1296" s="72">
        <v>148.52000000000001</v>
      </c>
      <c r="K1296" s="271">
        <f t="shared" si="60"/>
        <v>141752.94239700001</v>
      </c>
      <c r="L1296" s="111"/>
      <c r="M1296" s="73"/>
      <c r="N1296" s="112"/>
      <c r="O1296" s="111"/>
      <c r="P1296" s="312">
        <v>0</v>
      </c>
      <c r="Q1296" s="288">
        <f t="shared" si="61"/>
        <v>0</v>
      </c>
      <c r="R1296" s="118">
        <v>0</v>
      </c>
      <c r="S1296" s="283">
        <v>2016</v>
      </c>
      <c r="T1296" s="288">
        <f t="shared" si="62"/>
        <v>153602</v>
      </c>
    </row>
    <row r="1297" spans="2:20">
      <c r="B1297" s="386" t="s">
        <v>1402</v>
      </c>
      <c r="C1297" s="114"/>
      <c r="D1297" s="111" t="s">
        <v>1547</v>
      </c>
      <c r="E1297" s="111" t="s">
        <v>2014</v>
      </c>
      <c r="F1297" s="111"/>
      <c r="G1297" s="110" t="s">
        <v>2073</v>
      </c>
      <c r="H1297" s="141">
        <v>1162.0031509999999</v>
      </c>
      <c r="I1297" s="280"/>
      <c r="J1297" s="72">
        <v>148.52000000000001</v>
      </c>
      <c r="K1297" s="271">
        <f t="shared" si="60"/>
        <v>172580.70798651999</v>
      </c>
      <c r="L1297" s="111"/>
      <c r="M1297" s="73"/>
      <c r="N1297" s="112"/>
      <c r="O1297" s="111"/>
      <c r="P1297" s="312">
        <v>0</v>
      </c>
      <c r="Q1297" s="288">
        <f t="shared" si="61"/>
        <v>0</v>
      </c>
      <c r="R1297" s="118">
        <v>0</v>
      </c>
      <c r="S1297" s="283">
        <v>2016</v>
      </c>
      <c r="T1297" s="288">
        <f t="shared" si="62"/>
        <v>187007</v>
      </c>
    </row>
    <row r="1298" spans="2:20">
      <c r="B1298" s="386" t="s">
        <v>1403</v>
      </c>
      <c r="C1298" s="114"/>
      <c r="D1298" s="111" t="s">
        <v>1546</v>
      </c>
      <c r="E1298" s="111" t="s">
        <v>2015</v>
      </c>
      <c r="F1298" s="111"/>
      <c r="G1298" s="110" t="s">
        <v>2073</v>
      </c>
      <c r="H1298" s="141">
        <v>54.536017999999999</v>
      </c>
      <c r="I1298" s="280"/>
      <c r="J1298" s="72">
        <v>148.52000000000001</v>
      </c>
      <c r="K1298" s="271">
        <f t="shared" ref="K1298:K1357" si="63">J1298*H1298</f>
        <v>8099.6893933600004</v>
      </c>
      <c r="L1298" s="111"/>
      <c r="M1298" s="73"/>
      <c r="N1298" s="112"/>
      <c r="O1298" s="111"/>
      <c r="P1298" s="312">
        <v>0</v>
      </c>
      <c r="Q1298" s="288">
        <f t="shared" ref="Q1298:Q1357" si="64">IFERROR(R1298/P1298,0)</f>
        <v>0</v>
      </c>
      <c r="R1298" s="118">
        <v>0</v>
      </c>
      <c r="S1298" s="283">
        <v>2016</v>
      </c>
      <c r="T1298" s="288">
        <f t="shared" si="62"/>
        <v>8777</v>
      </c>
    </row>
    <row r="1299" spans="2:20">
      <c r="B1299" s="386" t="s">
        <v>1404</v>
      </c>
      <c r="C1299" s="114"/>
      <c r="D1299" s="111" t="s">
        <v>1546</v>
      </c>
      <c r="E1299" s="111" t="s">
        <v>2015</v>
      </c>
      <c r="F1299" s="111"/>
      <c r="G1299" s="110" t="s">
        <v>2073</v>
      </c>
      <c r="H1299" s="141">
        <v>71.216616999999999</v>
      </c>
      <c r="I1299" s="280"/>
      <c r="J1299" s="72">
        <v>148.52000000000001</v>
      </c>
      <c r="K1299" s="271">
        <f t="shared" si="63"/>
        <v>10577.09195684</v>
      </c>
      <c r="L1299" s="111"/>
      <c r="M1299" s="73"/>
      <c r="N1299" s="112"/>
      <c r="O1299" s="111"/>
      <c r="P1299" s="312">
        <v>0</v>
      </c>
      <c r="Q1299" s="288">
        <f t="shared" si="64"/>
        <v>0</v>
      </c>
      <c r="R1299" s="118">
        <v>0</v>
      </c>
      <c r="S1299" s="283">
        <v>2016</v>
      </c>
      <c r="T1299" s="288">
        <f t="shared" si="62"/>
        <v>11461</v>
      </c>
    </row>
    <row r="1300" spans="2:20">
      <c r="B1300" s="386" t="s">
        <v>1405</v>
      </c>
      <c r="C1300" s="114"/>
      <c r="D1300" s="111" t="s">
        <v>1546</v>
      </c>
      <c r="E1300" s="111" t="s">
        <v>2015</v>
      </c>
      <c r="F1300" s="111"/>
      <c r="G1300" s="110" t="s">
        <v>2073</v>
      </c>
      <c r="H1300" s="141">
        <v>79.68347</v>
      </c>
      <c r="I1300" s="280"/>
      <c r="J1300" s="72">
        <v>148.52000000000001</v>
      </c>
      <c r="K1300" s="271">
        <f t="shared" si="63"/>
        <v>11834.5889644</v>
      </c>
      <c r="L1300" s="111"/>
      <c r="M1300" s="73"/>
      <c r="N1300" s="112"/>
      <c r="O1300" s="111"/>
      <c r="P1300" s="312">
        <v>0</v>
      </c>
      <c r="Q1300" s="288">
        <f t="shared" si="64"/>
        <v>0</v>
      </c>
      <c r="R1300" s="118">
        <v>0</v>
      </c>
      <c r="S1300" s="283">
        <v>2016</v>
      </c>
      <c r="T1300" s="288">
        <f t="shared" si="62"/>
        <v>12824</v>
      </c>
    </row>
    <row r="1301" spans="2:20">
      <c r="B1301" s="386" t="s">
        <v>1406</v>
      </c>
      <c r="C1301" s="114"/>
      <c r="D1301" s="111" t="s">
        <v>1546</v>
      </c>
      <c r="E1301" s="111" t="s">
        <v>2015</v>
      </c>
      <c r="F1301" s="111"/>
      <c r="G1301" s="110" t="s">
        <v>2073</v>
      </c>
      <c r="H1301" s="141">
        <v>89.911525999999995</v>
      </c>
      <c r="I1301" s="280"/>
      <c r="J1301" s="72">
        <v>148.52000000000001</v>
      </c>
      <c r="K1301" s="271">
        <f t="shared" si="63"/>
        <v>13353.659841520001</v>
      </c>
      <c r="L1301" s="111"/>
      <c r="M1301" s="73"/>
      <c r="N1301" s="112"/>
      <c r="O1301" s="111"/>
      <c r="P1301" s="312">
        <v>0</v>
      </c>
      <c r="Q1301" s="288">
        <f t="shared" si="64"/>
        <v>0</v>
      </c>
      <c r="R1301" s="118">
        <v>0</v>
      </c>
      <c r="S1301" s="283">
        <v>2016</v>
      </c>
      <c r="T1301" s="288">
        <f t="shared" si="62"/>
        <v>14470</v>
      </c>
    </row>
    <row r="1302" spans="2:20">
      <c r="B1302" s="386" t="s">
        <v>1407</v>
      </c>
      <c r="C1302" s="114"/>
      <c r="D1302" s="111" t="s">
        <v>1546</v>
      </c>
      <c r="E1302" s="111" t="s">
        <v>2015</v>
      </c>
      <c r="F1302" s="111"/>
      <c r="G1302" s="110" t="s">
        <v>2073</v>
      </c>
      <c r="H1302" s="141">
        <v>213.75590199999999</v>
      </c>
      <c r="I1302" s="280"/>
      <c r="J1302" s="72">
        <v>148.52000000000001</v>
      </c>
      <c r="K1302" s="271">
        <f t="shared" si="63"/>
        <v>31747.02656504</v>
      </c>
      <c r="L1302" s="111"/>
      <c r="M1302" s="73"/>
      <c r="N1302" s="112"/>
      <c r="O1302" s="111"/>
      <c r="P1302" s="312">
        <v>0</v>
      </c>
      <c r="Q1302" s="288">
        <f t="shared" si="64"/>
        <v>0</v>
      </c>
      <c r="R1302" s="118">
        <v>0</v>
      </c>
      <c r="S1302" s="283">
        <v>2016</v>
      </c>
      <c r="T1302" s="288">
        <f t="shared" si="62"/>
        <v>34401</v>
      </c>
    </row>
    <row r="1303" spans="2:20">
      <c r="B1303" s="386" t="s">
        <v>1408</v>
      </c>
      <c r="C1303" s="114"/>
      <c r="D1303" s="111" t="s">
        <v>1546</v>
      </c>
      <c r="E1303" s="111" t="s">
        <v>2015</v>
      </c>
      <c r="F1303" s="111"/>
      <c r="G1303" s="110" t="s">
        <v>2074</v>
      </c>
      <c r="H1303" s="141">
        <v>18.432500999999998</v>
      </c>
      <c r="I1303" s="280"/>
      <c r="J1303" s="72">
        <v>148.52000000000001</v>
      </c>
      <c r="K1303" s="271">
        <f t="shared" si="63"/>
        <v>2737.5950485200001</v>
      </c>
      <c r="L1303" s="111"/>
      <c r="M1303" s="73"/>
      <c r="N1303" s="112"/>
      <c r="O1303" s="111"/>
      <c r="P1303" s="312">
        <v>0</v>
      </c>
      <c r="Q1303" s="288">
        <f t="shared" si="64"/>
        <v>0</v>
      </c>
      <c r="R1303" s="118">
        <v>0</v>
      </c>
      <c r="S1303" s="283">
        <v>2016</v>
      </c>
      <c r="T1303" s="288">
        <f t="shared" si="62"/>
        <v>2966</v>
      </c>
    </row>
    <row r="1304" spans="2:20">
      <c r="B1304" s="386" t="s">
        <v>1409</v>
      </c>
      <c r="C1304" s="114"/>
      <c r="D1304" s="111" t="s">
        <v>1546</v>
      </c>
      <c r="E1304" s="111" t="s">
        <v>2015</v>
      </c>
      <c r="F1304" s="111"/>
      <c r="G1304" s="110" t="s">
        <v>2073</v>
      </c>
      <c r="H1304" s="141">
        <v>17.598946000000002</v>
      </c>
      <c r="I1304" s="280"/>
      <c r="J1304" s="72">
        <v>148.52000000000001</v>
      </c>
      <c r="K1304" s="271">
        <f t="shared" si="63"/>
        <v>2613.7954599200002</v>
      </c>
      <c r="L1304" s="111"/>
      <c r="M1304" s="73"/>
      <c r="N1304" s="112"/>
      <c r="O1304" s="111"/>
      <c r="P1304" s="312">
        <v>0</v>
      </c>
      <c r="Q1304" s="288">
        <f t="shared" si="64"/>
        <v>0</v>
      </c>
      <c r="R1304" s="118">
        <v>0</v>
      </c>
      <c r="S1304" s="283">
        <v>2016</v>
      </c>
      <c r="T1304" s="288">
        <f t="shared" si="62"/>
        <v>2832</v>
      </c>
    </row>
    <row r="1305" spans="2:20">
      <c r="B1305" s="386" t="s">
        <v>1410</v>
      </c>
      <c r="C1305" s="114"/>
      <c r="D1305" s="111" t="s">
        <v>1547</v>
      </c>
      <c r="E1305" s="111" t="s">
        <v>1891</v>
      </c>
      <c r="F1305" s="111"/>
      <c r="G1305" s="110" t="s">
        <v>2073</v>
      </c>
      <c r="H1305" s="141">
        <v>249.26594299999999</v>
      </c>
      <c r="I1305" s="280"/>
      <c r="J1305" s="72">
        <v>148.52000000000001</v>
      </c>
      <c r="K1305" s="271">
        <f t="shared" si="63"/>
        <v>37020.977854360004</v>
      </c>
      <c r="L1305" s="111"/>
      <c r="M1305" s="73"/>
      <c r="N1305" s="112"/>
      <c r="O1305" s="111"/>
      <c r="P1305" s="312">
        <v>0</v>
      </c>
      <c r="Q1305" s="288">
        <f t="shared" si="64"/>
        <v>0</v>
      </c>
      <c r="R1305" s="118">
        <v>0</v>
      </c>
      <c r="S1305" s="283">
        <v>2016</v>
      </c>
      <c r="T1305" s="288">
        <f t="shared" si="62"/>
        <v>40116</v>
      </c>
    </row>
    <row r="1306" spans="2:20">
      <c r="B1306" s="386" t="s">
        <v>1411</v>
      </c>
      <c r="C1306" s="114"/>
      <c r="D1306" s="111" t="s">
        <v>1546</v>
      </c>
      <c r="E1306" s="111" t="s">
        <v>2016</v>
      </c>
      <c r="F1306" s="111"/>
      <c r="G1306" s="110" t="s">
        <v>2073</v>
      </c>
      <c r="H1306" s="141">
        <v>405.35195099999999</v>
      </c>
      <c r="I1306" s="280"/>
      <c r="J1306" s="72">
        <v>148.52000000000001</v>
      </c>
      <c r="K1306" s="271">
        <f t="shared" si="63"/>
        <v>60202.871762520001</v>
      </c>
      <c r="L1306" s="111"/>
      <c r="M1306" s="73"/>
      <c r="N1306" s="112"/>
      <c r="O1306" s="111"/>
      <c r="P1306" s="312">
        <v>0</v>
      </c>
      <c r="Q1306" s="288">
        <f t="shared" si="64"/>
        <v>0</v>
      </c>
      <c r="R1306" s="118">
        <v>0</v>
      </c>
      <c r="S1306" s="283">
        <v>2016</v>
      </c>
      <c r="T1306" s="288">
        <f t="shared" si="62"/>
        <v>65235</v>
      </c>
    </row>
    <row r="1307" spans="2:20">
      <c r="B1307" s="386" t="s">
        <v>1412</v>
      </c>
      <c r="C1307" s="114"/>
      <c r="D1307" s="111" t="s">
        <v>1546</v>
      </c>
      <c r="E1307" s="111" t="s">
        <v>2016</v>
      </c>
      <c r="F1307" s="111"/>
      <c r="G1307" s="110" t="s">
        <v>2073</v>
      </c>
      <c r="H1307" s="141">
        <v>159.78527199999999</v>
      </c>
      <c r="I1307" s="280"/>
      <c r="J1307" s="72">
        <v>148.52000000000001</v>
      </c>
      <c r="K1307" s="271">
        <f t="shared" si="63"/>
        <v>23731.308597440002</v>
      </c>
      <c r="L1307" s="111"/>
      <c r="M1307" s="73"/>
      <c r="N1307" s="112"/>
      <c r="O1307" s="111"/>
      <c r="P1307" s="312">
        <v>0</v>
      </c>
      <c r="Q1307" s="288">
        <f t="shared" si="64"/>
        <v>0</v>
      </c>
      <c r="R1307" s="118">
        <v>0</v>
      </c>
      <c r="S1307" s="283">
        <v>2016</v>
      </c>
      <c r="T1307" s="288">
        <f t="shared" si="62"/>
        <v>25715</v>
      </c>
    </row>
    <row r="1308" spans="2:20">
      <c r="B1308" s="386" t="s">
        <v>1413</v>
      </c>
      <c r="C1308" s="114"/>
      <c r="D1308" s="111" t="s">
        <v>1546</v>
      </c>
      <c r="E1308" s="111" t="s">
        <v>2016</v>
      </c>
      <c r="F1308" s="111"/>
      <c r="G1308" s="110" t="s">
        <v>2073</v>
      </c>
      <c r="H1308" s="141">
        <v>645.31464000000005</v>
      </c>
      <c r="I1308" s="280"/>
      <c r="J1308" s="72">
        <v>148.52000000000001</v>
      </c>
      <c r="K1308" s="271">
        <f t="shared" si="63"/>
        <v>95842.130332800021</v>
      </c>
      <c r="L1308" s="111"/>
      <c r="M1308" s="73"/>
      <c r="N1308" s="112"/>
      <c r="O1308" s="111"/>
      <c r="P1308" s="312">
        <v>0</v>
      </c>
      <c r="Q1308" s="288">
        <f t="shared" si="64"/>
        <v>0</v>
      </c>
      <c r="R1308" s="118">
        <v>0</v>
      </c>
      <c r="S1308" s="283">
        <v>2016</v>
      </c>
      <c r="T1308" s="288">
        <f t="shared" si="62"/>
        <v>103854</v>
      </c>
    </row>
    <row r="1309" spans="2:20">
      <c r="B1309" s="386" t="s">
        <v>1414</v>
      </c>
      <c r="C1309" s="114"/>
      <c r="D1309" s="111" t="s">
        <v>1546</v>
      </c>
      <c r="E1309" s="111" t="s">
        <v>2016</v>
      </c>
      <c r="F1309" s="111"/>
      <c r="G1309" s="110" t="s">
        <v>2073</v>
      </c>
      <c r="H1309" s="141">
        <v>43.593722999999997</v>
      </c>
      <c r="I1309" s="280"/>
      <c r="J1309" s="72">
        <v>148.52000000000001</v>
      </c>
      <c r="K1309" s="271">
        <f t="shared" si="63"/>
        <v>6474.5397399599997</v>
      </c>
      <c r="L1309" s="111"/>
      <c r="M1309" s="73"/>
      <c r="N1309" s="112"/>
      <c r="O1309" s="111"/>
      <c r="P1309" s="312">
        <v>0</v>
      </c>
      <c r="Q1309" s="288">
        <f t="shared" si="64"/>
        <v>0</v>
      </c>
      <c r="R1309" s="118">
        <v>0</v>
      </c>
      <c r="S1309" s="283">
        <v>2016</v>
      </c>
      <c r="T1309" s="288">
        <f t="shared" si="62"/>
        <v>7016</v>
      </c>
    </row>
    <row r="1310" spans="2:20">
      <c r="B1310" s="386" t="s">
        <v>1415</v>
      </c>
      <c r="C1310" s="114"/>
      <c r="D1310" s="111" t="s">
        <v>1546</v>
      </c>
      <c r="E1310" s="111" t="s">
        <v>2016</v>
      </c>
      <c r="F1310" s="111"/>
      <c r="G1310" s="110" t="s">
        <v>2073</v>
      </c>
      <c r="H1310" s="141">
        <v>22.404724000000002</v>
      </c>
      <c r="I1310" s="280"/>
      <c r="J1310" s="72">
        <v>148.52000000000001</v>
      </c>
      <c r="K1310" s="271">
        <f t="shared" si="63"/>
        <v>3327.5496084800006</v>
      </c>
      <c r="L1310" s="111"/>
      <c r="M1310" s="73"/>
      <c r="N1310" s="112"/>
      <c r="O1310" s="111"/>
      <c r="P1310" s="312">
        <v>0</v>
      </c>
      <c r="Q1310" s="288">
        <f t="shared" si="64"/>
        <v>0</v>
      </c>
      <c r="R1310" s="118">
        <v>0</v>
      </c>
      <c r="S1310" s="283">
        <v>2016</v>
      </c>
      <c r="T1310" s="288">
        <f t="shared" si="62"/>
        <v>3606</v>
      </c>
    </row>
    <row r="1311" spans="2:20">
      <c r="B1311" s="386" t="s">
        <v>1416</v>
      </c>
      <c r="C1311" s="114"/>
      <c r="D1311" s="111" t="s">
        <v>1546</v>
      </c>
      <c r="E1311" s="111" t="s">
        <v>2016</v>
      </c>
      <c r="F1311" s="111"/>
      <c r="G1311" s="110" t="s">
        <v>2073</v>
      </c>
      <c r="H1311" s="141">
        <v>167.91432499999999</v>
      </c>
      <c r="I1311" s="280"/>
      <c r="J1311" s="72">
        <v>148.52000000000001</v>
      </c>
      <c r="K1311" s="271">
        <f t="shared" si="63"/>
        <v>24938.635548999999</v>
      </c>
      <c r="L1311" s="111"/>
      <c r="M1311" s="73"/>
      <c r="N1311" s="112"/>
      <c r="O1311" s="111"/>
      <c r="P1311" s="312">
        <v>0</v>
      </c>
      <c r="Q1311" s="288">
        <f t="shared" si="64"/>
        <v>0</v>
      </c>
      <c r="R1311" s="118">
        <v>0</v>
      </c>
      <c r="S1311" s="283">
        <v>2016</v>
      </c>
      <c r="T1311" s="288">
        <f t="shared" si="62"/>
        <v>27023</v>
      </c>
    </row>
    <row r="1312" spans="2:20">
      <c r="B1312" s="386" t="s">
        <v>1417</v>
      </c>
      <c r="C1312" s="114"/>
      <c r="D1312" s="111" t="s">
        <v>1546</v>
      </c>
      <c r="E1312" s="111" t="s">
        <v>2016</v>
      </c>
      <c r="F1312" s="111"/>
      <c r="G1312" s="110" t="s">
        <v>2073</v>
      </c>
      <c r="H1312" s="141">
        <v>78.557591000000002</v>
      </c>
      <c r="I1312" s="280"/>
      <c r="J1312" s="72">
        <v>148.52000000000001</v>
      </c>
      <c r="K1312" s="271">
        <f t="shared" si="63"/>
        <v>11667.37341532</v>
      </c>
      <c r="L1312" s="111"/>
      <c r="M1312" s="73"/>
      <c r="N1312" s="112"/>
      <c r="O1312" s="111"/>
      <c r="P1312" s="312">
        <v>0</v>
      </c>
      <c r="Q1312" s="288">
        <f t="shared" si="64"/>
        <v>0</v>
      </c>
      <c r="R1312" s="118">
        <v>0</v>
      </c>
      <c r="S1312" s="283">
        <v>2016</v>
      </c>
      <c r="T1312" s="288">
        <f t="shared" si="62"/>
        <v>12643</v>
      </c>
    </row>
    <row r="1313" spans="2:20">
      <c r="B1313" s="386" t="s">
        <v>1418</v>
      </c>
      <c r="C1313" s="114"/>
      <c r="D1313" s="111" t="s">
        <v>1547</v>
      </c>
      <c r="E1313" s="111" t="s">
        <v>1897</v>
      </c>
      <c r="F1313" s="111"/>
      <c r="G1313" s="110" t="s">
        <v>2073</v>
      </c>
      <c r="H1313" s="141">
        <v>194.624875</v>
      </c>
      <c r="I1313" s="280"/>
      <c r="J1313" s="72">
        <v>148.52000000000001</v>
      </c>
      <c r="K1313" s="271">
        <f t="shared" si="63"/>
        <v>28905.686435000003</v>
      </c>
      <c r="L1313" s="111"/>
      <c r="M1313" s="73"/>
      <c r="N1313" s="112"/>
      <c r="O1313" s="111"/>
      <c r="P1313" s="312">
        <v>0</v>
      </c>
      <c r="Q1313" s="288">
        <f t="shared" si="64"/>
        <v>0</v>
      </c>
      <c r="R1313" s="118">
        <v>0</v>
      </c>
      <c r="S1313" s="283">
        <v>2016</v>
      </c>
      <c r="T1313" s="288">
        <f t="shared" si="62"/>
        <v>31322</v>
      </c>
    </row>
    <row r="1314" spans="2:20">
      <c r="B1314" s="386" t="s">
        <v>1419</v>
      </c>
      <c r="C1314" s="114"/>
      <c r="D1314" s="111" t="s">
        <v>1547</v>
      </c>
      <c r="E1314" s="111" t="s">
        <v>1897</v>
      </c>
      <c r="F1314" s="111"/>
      <c r="G1314" s="110" t="s">
        <v>2073</v>
      </c>
      <c r="H1314" s="141">
        <v>136.45940400000001</v>
      </c>
      <c r="I1314" s="280"/>
      <c r="J1314" s="72">
        <v>148.52000000000001</v>
      </c>
      <c r="K1314" s="271">
        <f t="shared" si="63"/>
        <v>20266.950682080002</v>
      </c>
      <c r="L1314" s="111"/>
      <c r="M1314" s="73"/>
      <c r="N1314" s="112"/>
      <c r="O1314" s="111"/>
      <c r="P1314" s="312">
        <v>0</v>
      </c>
      <c r="Q1314" s="288">
        <f t="shared" si="64"/>
        <v>0</v>
      </c>
      <c r="R1314" s="118">
        <v>0</v>
      </c>
      <c r="S1314" s="283">
        <v>2016</v>
      </c>
      <c r="T1314" s="288">
        <f t="shared" si="62"/>
        <v>21961</v>
      </c>
    </row>
    <row r="1315" spans="2:20">
      <c r="B1315" s="386" t="s">
        <v>1420</v>
      </c>
      <c r="C1315" s="114"/>
      <c r="D1315" s="111" t="s">
        <v>1547</v>
      </c>
      <c r="E1315" s="111" t="s">
        <v>1897</v>
      </c>
      <c r="F1315" s="111"/>
      <c r="G1315" s="110" t="s">
        <v>2073</v>
      </c>
      <c r="H1315" s="141">
        <v>33.698520000000002</v>
      </c>
      <c r="I1315" s="280"/>
      <c r="J1315" s="72">
        <v>148.52000000000001</v>
      </c>
      <c r="K1315" s="271">
        <f t="shared" si="63"/>
        <v>5004.9041904000005</v>
      </c>
      <c r="L1315" s="111"/>
      <c r="M1315" s="73"/>
      <c r="N1315" s="112"/>
      <c r="O1315" s="111"/>
      <c r="P1315" s="312">
        <v>0</v>
      </c>
      <c r="Q1315" s="288">
        <f t="shared" si="64"/>
        <v>0</v>
      </c>
      <c r="R1315" s="118">
        <v>0</v>
      </c>
      <c r="S1315" s="283">
        <v>2016</v>
      </c>
      <c r="T1315" s="288">
        <f t="shared" si="62"/>
        <v>5423</v>
      </c>
    </row>
    <row r="1316" spans="2:20">
      <c r="B1316" s="386" t="s">
        <v>1421</v>
      </c>
      <c r="C1316" s="114"/>
      <c r="D1316" s="111" t="s">
        <v>1547</v>
      </c>
      <c r="E1316" s="111" t="s">
        <v>1897</v>
      </c>
      <c r="F1316" s="111"/>
      <c r="G1316" s="110" t="s">
        <v>2073</v>
      </c>
      <c r="H1316" s="141">
        <v>57.167591999999999</v>
      </c>
      <c r="I1316" s="280"/>
      <c r="J1316" s="72">
        <v>148.52000000000001</v>
      </c>
      <c r="K1316" s="271">
        <f t="shared" si="63"/>
        <v>8490.5307638400009</v>
      </c>
      <c r="L1316" s="111"/>
      <c r="M1316" s="73"/>
      <c r="N1316" s="112"/>
      <c r="O1316" s="111"/>
      <c r="P1316" s="312">
        <v>0</v>
      </c>
      <c r="Q1316" s="288">
        <f t="shared" si="64"/>
        <v>0</v>
      </c>
      <c r="R1316" s="118">
        <v>0</v>
      </c>
      <c r="S1316" s="283">
        <v>2016</v>
      </c>
      <c r="T1316" s="288">
        <f t="shared" si="62"/>
        <v>9200</v>
      </c>
    </row>
    <row r="1317" spans="2:20">
      <c r="B1317" s="386" t="s">
        <v>1422</v>
      </c>
      <c r="C1317" s="114"/>
      <c r="D1317" s="111" t="s">
        <v>1547</v>
      </c>
      <c r="E1317" s="111" t="s">
        <v>1897</v>
      </c>
      <c r="F1317" s="111"/>
      <c r="G1317" s="110" t="s">
        <v>2073</v>
      </c>
      <c r="H1317" s="141">
        <v>229.79356000000001</v>
      </c>
      <c r="I1317" s="280"/>
      <c r="J1317" s="72">
        <v>148.52000000000001</v>
      </c>
      <c r="K1317" s="271">
        <f t="shared" si="63"/>
        <v>34128.939531200005</v>
      </c>
      <c r="L1317" s="111"/>
      <c r="M1317" s="73"/>
      <c r="N1317" s="112"/>
      <c r="O1317" s="111"/>
      <c r="P1317" s="312">
        <v>0</v>
      </c>
      <c r="Q1317" s="288">
        <f t="shared" si="64"/>
        <v>0</v>
      </c>
      <c r="R1317" s="118">
        <v>0</v>
      </c>
      <c r="S1317" s="283">
        <v>2016</v>
      </c>
      <c r="T1317" s="288">
        <f t="shared" si="62"/>
        <v>36982</v>
      </c>
    </row>
    <row r="1318" spans="2:20">
      <c r="B1318" s="386" t="s">
        <v>1423</v>
      </c>
      <c r="C1318" s="114"/>
      <c r="D1318" s="111" t="s">
        <v>1546</v>
      </c>
      <c r="E1318" s="111" t="s">
        <v>2017</v>
      </c>
      <c r="F1318" s="111"/>
      <c r="G1318" s="110" t="s">
        <v>2073</v>
      </c>
      <c r="H1318" s="141">
        <v>1157.8021639999999</v>
      </c>
      <c r="I1318" s="280"/>
      <c r="J1318" s="72">
        <v>148.52000000000001</v>
      </c>
      <c r="K1318" s="271">
        <f t="shared" si="63"/>
        <v>171956.77739728001</v>
      </c>
      <c r="L1318" s="111"/>
      <c r="M1318" s="73"/>
      <c r="N1318" s="112"/>
      <c r="O1318" s="111"/>
      <c r="P1318" s="312">
        <v>0</v>
      </c>
      <c r="Q1318" s="288">
        <f t="shared" si="64"/>
        <v>0</v>
      </c>
      <c r="R1318" s="118">
        <v>0</v>
      </c>
      <c r="S1318" s="283">
        <v>2016</v>
      </c>
      <c r="T1318" s="288">
        <f t="shared" si="62"/>
        <v>186331</v>
      </c>
    </row>
    <row r="1319" spans="2:20">
      <c r="B1319" s="386" t="s">
        <v>1424</v>
      </c>
      <c r="C1319" s="114"/>
      <c r="D1319" s="111" t="s">
        <v>1546</v>
      </c>
      <c r="E1319" s="111" t="s">
        <v>2017</v>
      </c>
      <c r="F1319" s="111"/>
      <c r="G1319" s="110" t="s">
        <v>2073</v>
      </c>
      <c r="H1319" s="141">
        <v>940.04715999999996</v>
      </c>
      <c r="I1319" s="280"/>
      <c r="J1319" s="72">
        <v>148.52000000000001</v>
      </c>
      <c r="K1319" s="271">
        <f t="shared" si="63"/>
        <v>139615.80420320001</v>
      </c>
      <c r="L1319" s="111"/>
      <c r="M1319" s="73"/>
      <c r="N1319" s="112"/>
      <c r="O1319" s="111"/>
      <c r="P1319" s="312">
        <v>0</v>
      </c>
      <c r="Q1319" s="288">
        <f t="shared" si="64"/>
        <v>0</v>
      </c>
      <c r="R1319" s="118">
        <v>0</v>
      </c>
      <c r="S1319" s="283">
        <v>2016</v>
      </c>
      <c r="T1319" s="288">
        <f t="shared" si="62"/>
        <v>151286</v>
      </c>
    </row>
    <row r="1320" spans="2:20">
      <c r="B1320" s="386" t="s">
        <v>1425</v>
      </c>
      <c r="C1320" s="114"/>
      <c r="D1320" s="111" t="s">
        <v>1546</v>
      </c>
      <c r="E1320" s="111" t="s">
        <v>2017</v>
      </c>
      <c r="F1320" s="111"/>
      <c r="G1320" s="110" t="s">
        <v>2073</v>
      </c>
      <c r="H1320" s="141">
        <v>11.652260999999999</v>
      </c>
      <c r="I1320" s="280"/>
      <c r="J1320" s="72">
        <v>148.52000000000001</v>
      </c>
      <c r="K1320" s="271">
        <f t="shared" si="63"/>
        <v>1730.5938037200001</v>
      </c>
      <c r="L1320" s="111"/>
      <c r="M1320" s="73"/>
      <c r="N1320" s="112"/>
      <c r="O1320" s="111"/>
      <c r="P1320" s="312">
        <v>0</v>
      </c>
      <c r="Q1320" s="288">
        <f t="shared" si="64"/>
        <v>0</v>
      </c>
      <c r="R1320" s="118">
        <v>0</v>
      </c>
      <c r="S1320" s="283">
        <v>2016</v>
      </c>
      <c r="T1320" s="288">
        <f t="shared" si="62"/>
        <v>1875</v>
      </c>
    </row>
    <row r="1321" spans="2:20">
      <c r="B1321" s="386" t="s">
        <v>1426</v>
      </c>
      <c r="C1321" s="114"/>
      <c r="D1321" s="111" t="s">
        <v>1546</v>
      </c>
      <c r="E1321" s="111" t="s">
        <v>2018</v>
      </c>
      <c r="F1321" s="111"/>
      <c r="G1321" s="110" t="s">
        <v>2073</v>
      </c>
      <c r="H1321" s="141">
        <v>175.57570899999999</v>
      </c>
      <c r="I1321" s="280"/>
      <c r="J1321" s="72">
        <v>148.52000000000001</v>
      </c>
      <c r="K1321" s="271">
        <f t="shared" si="63"/>
        <v>26076.504300680001</v>
      </c>
      <c r="L1321" s="111"/>
      <c r="M1321" s="73"/>
      <c r="N1321" s="112"/>
      <c r="O1321" s="111"/>
      <c r="P1321" s="312">
        <v>0</v>
      </c>
      <c r="Q1321" s="288">
        <f t="shared" si="64"/>
        <v>0</v>
      </c>
      <c r="R1321" s="118">
        <v>0</v>
      </c>
      <c r="S1321" s="283">
        <v>2016</v>
      </c>
      <c r="T1321" s="288">
        <f t="shared" si="62"/>
        <v>28256</v>
      </c>
    </row>
    <row r="1322" spans="2:20">
      <c r="B1322" s="386" t="s">
        <v>1427</v>
      </c>
      <c r="C1322" s="114"/>
      <c r="D1322" s="111" t="s">
        <v>1546</v>
      </c>
      <c r="E1322" s="111" t="s">
        <v>2018</v>
      </c>
      <c r="F1322" s="111"/>
      <c r="G1322" s="110" t="s">
        <v>2074</v>
      </c>
      <c r="H1322" s="141">
        <v>263.24870299999998</v>
      </c>
      <c r="I1322" s="280"/>
      <c r="J1322" s="72">
        <v>148.52000000000001</v>
      </c>
      <c r="K1322" s="271">
        <f t="shared" si="63"/>
        <v>39097.697369560003</v>
      </c>
      <c r="L1322" s="111"/>
      <c r="M1322" s="73"/>
      <c r="N1322" s="112"/>
      <c r="O1322" s="111"/>
      <c r="P1322" s="312">
        <v>0</v>
      </c>
      <c r="Q1322" s="288">
        <f t="shared" si="64"/>
        <v>0</v>
      </c>
      <c r="R1322" s="118">
        <v>0</v>
      </c>
      <c r="S1322" s="283">
        <v>2016</v>
      </c>
      <c r="T1322" s="288">
        <f t="shared" si="62"/>
        <v>42366</v>
      </c>
    </row>
    <row r="1323" spans="2:20">
      <c r="B1323" s="386" t="s">
        <v>1428</v>
      </c>
      <c r="C1323" s="114"/>
      <c r="D1323" s="111" t="s">
        <v>1546</v>
      </c>
      <c r="E1323" s="111" t="s">
        <v>2018</v>
      </c>
      <c r="F1323" s="111"/>
      <c r="G1323" s="110" t="s">
        <v>2073</v>
      </c>
      <c r="H1323" s="141">
        <v>490.31206600000002</v>
      </c>
      <c r="I1323" s="280"/>
      <c r="J1323" s="72">
        <v>148.52000000000001</v>
      </c>
      <c r="K1323" s="271">
        <f t="shared" si="63"/>
        <v>72821.148042320012</v>
      </c>
      <c r="L1323" s="111"/>
      <c r="M1323" s="73"/>
      <c r="N1323" s="112"/>
      <c r="O1323" s="111"/>
      <c r="P1323" s="312">
        <v>0</v>
      </c>
      <c r="Q1323" s="288">
        <f t="shared" si="64"/>
        <v>0</v>
      </c>
      <c r="R1323" s="118">
        <v>0</v>
      </c>
      <c r="S1323" s="283">
        <v>2016</v>
      </c>
      <c r="T1323" s="288">
        <f t="shared" si="62"/>
        <v>78908</v>
      </c>
    </row>
    <row r="1324" spans="2:20">
      <c r="B1324" s="386" t="s">
        <v>1429</v>
      </c>
      <c r="C1324" s="114"/>
      <c r="D1324" s="111" t="s">
        <v>1546</v>
      </c>
      <c r="E1324" s="111" t="s">
        <v>2018</v>
      </c>
      <c r="F1324" s="111"/>
      <c r="G1324" s="110" t="s">
        <v>2073</v>
      </c>
      <c r="H1324" s="141">
        <v>177.00094899999999</v>
      </c>
      <c r="I1324" s="280"/>
      <c r="J1324" s="72">
        <v>148.52000000000001</v>
      </c>
      <c r="K1324" s="271">
        <f t="shared" si="63"/>
        <v>26288.180945480002</v>
      </c>
      <c r="L1324" s="111"/>
      <c r="M1324" s="73"/>
      <c r="N1324" s="112"/>
      <c r="O1324" s="111"/>
      <c r="P1324" s="312">
        <v>0</v>
      </c>
      <c r="Q1324" s="288">
        <f t="shared" si="64"/>
        <v>0</v>
      </c>
      <c r="R1324" s="118">
        <v>0</v>
      </c>
      <c r="S1324" s="283">
        <v>2016</v>
      </c>
      <c r="T1324" s="288">
        <f t="shared" si="62"/>
        <v>28486</v>
      </c>
    </row>
    <row r="1325" spans="2:20">
      <c r="B1325" s="386" t="s">
        <v>1430</v>
      </c>
      <c r="C1325" s="114"/>
      <c r="D1325" s="111" t="s">
        <v>1546</v>
      </c>
      <c r="E1325" s="111" t="s">
        <v>2018</v>
      </c>
      <c r="F1325" s="111"/>
      <c r="G1325" s="110" t="s">
        <v>2073</v>
      </c>
      <c r="H1325" s="141">
        <v>70.134337000000002</v>
      </c>
      <c r="I1325" s="280"/>
      <c r="J1325" s="72">
        <v>148.52000000000001</v>
      </c>
      <c r="K1325" s="271">
        <f t="shared" si="63"/>
        <v>10416.351731240002</v>
      </c>
      <c r="L1325" s="111"/>
      <c r="M1325" s="73"/>
      <c r="N1325" s="112"/>
      <c r="O1325" s="111"/>
      <c r="P1325" s="312">
        <v>0</v>
      </c>
      <c r="Q1325" s="288">
        <f t="shared" si="64"/>
        <v>0</v>
      </c>
      <c r="R1325" s="118">
        <v>0</v>
      </c>
      <c r="S1325" s="283">
        <v>2016</v>
      </c>
      <c r="T1325" s="288">
        <f t="shared" si="62"/>
        <v>11287</v>
      </c>
    </row>
    <row r="1326" spans="2:20">
      <c r="B1326" s="386" t="s">
        <v>1431</v>
      </c>
      <c r="C1326" s="114"/>
      <c r="D1326" s="111" t="s">
        <v>1546</v>
      </c>
      <c r="E1326" s="111" t="s">
        <v>2018</v>
      </c>
      <c r="F1326" s="111"/>
      <c r="G1326" s="110" t="s">
        <v>2073</v>
      </c>
      <c r="H1326" s="141">
        <v>131.18122500000001</v>
      </c>
      <c r="I1326" s="280"/>
      <c r="J1326" s="72">
        <v>148.52000000000001</v>
      </c>
      <c r="K1326" s="271">
        <f t="shared" si="63"/>
        <v>19483.035537000003</v>
      </c>
      <c r="L1326" s="111"/>
      <c r="M1326" s="73"/>
      <c r="N1326" s="112"/>
      <c r="O1326" s="111"/>
      <c r="P1326" s="312">
        <v>0</v>
      </c>
      <c r="Q1326" s="288">
        <f t="shared" si="64"/>
        <v>0</v>
      </c>
      <c r="R1326" s="118">
        <v>0</v>
      </c>
      <c r="S1326" s="283">
        <v>2016</v>
      </c>
      <c r="T1326" s="288">
        <f t="shared" si="62"/>
        <v>21112</v>
      </c>
    </row>
    <row r="1327" spans="2:20">
      <c r="B1327" s="386" t="s">
        <v>1432</v>
      </c>
      <c r="C1327" s="114"/>
      <c r="D1327" s="111" t="s">
        <v>1546</v>
      </c>
      <c r="E1327" s="111" t="s">
        <v>2018</v>
      </c>
      <c r="F1327" s="111"/>
      <c r="G1327" s="110" t="s">
        <v>2073</v>
      </c>
      <c r="H1327" s="141">
        <v>73.804553999999996</v>
      </c>
      <c r="I1327" s="280"/>
      <c r="J1327" s="72">
        <v>148.52000000000001</v>
      </c>
      <c r="K1327" s="271">
        <f t="shared" si="63"/>
        <v>10961.45236008</v>
      </c>
      <c r="L1327" s="111"/>
      <c r="M1327" s="73"/>
      <c r="N1327" s="112"/>
      <c r="O1327" s="111"/>
      <c r="P1327" s="312">
        <v>0</v>
      </c>
      <c r="Q1327" s="288">
        <f t="shared" si="64"/>
        <v>0</v>
      </c>
      <c r="R1327" s="118">
        <v>0</v>
      </c>
      <c r="S1327" s="283">
        <v>2016</v>
      </c>
      <c r="T1327" s="288">
        <f t="shared" si="62"/>
        <v>11878</v>
      </c>
    </row>
    <row r="1328" spans="2:20">
      <c r="B1328" s="386" t="s">
        <v>1433</v>
      </c>
      <c r="C1328" s="114"/>
      <c r="D1328" s="111" t="s">
        <v>1546</v>
      </c>
      <c r="E1328" s="111" t="s">
        <v>2018</v>
      </c>
      <c r="F1328" s="111"/>
      <c r="G1328" s="110" t="s">
        <v>2073</v>
      </c>
      <c r="H1328" s="141">
        <v>273.97272600000002</v>
      </c>
      <c r="I1328" s="280"/>
      <c r="J1328" s="72">
        <v>148.52000000000001</v>
      </c>
      <c r="K1328" s="271">
        <f t="shared" si="63"/>
        <v>40690.429265520004</v>
      </c>
      <c r="L1328" s="111"/>
      <c r="M1328" s="73"/>
      <c r="N1328" s="112"/>
      <c r="O1328" s="111"/>
      <c r="P1328" s="312">
        <v>0</v>
      </c>
      <c r="Q1328" s="288">
        <f t="shared" si="64"/>
        <v>0</v>
      </c>
      <c r="R1328" s="118">
        <v>0</v>
      </c>
      <c r="S1328" s="283">
        <v>2016</v>
      </c>
      <c r="T1328" s="288">
        <f t="shared" si="62"/>
        <v>44092</v>
      </c>
    </row>
    <row r="1329" spans="2:20">
      <c r="B1329" s="386" t="s">
        <v>1434</v>
      </c>
      <c r="C1329" s="114"/>
      <c r="D1329" s="111" t="s">
        <v>1546</v>
      </c>
      <c r="E1329" s="111" t="s">
        <v>2018</v>
      </c>
      <c r="F1329" s="111"/>
      <c r="G1329" s="110" t="s">
        <v>2073</v>
      </c>
      <c r="H1329" s="141">
        <v>139.580625</v>
      </c>
      <c r="I1329" s="280"/>
      <c r="J1329" s="72">
        <v>148.52000000000001</v>
      </c>
      <c r="K1329" s="271">
        <f t="shared" si="63"/>
        <v>20730.514425000001</v>
      </c>
      <c r="L1329" s="111"/>
      <c r="M1329" s="73"/>
      <c r="N1329" s="112"/>
      <c r="O1329" s="111"/>
      <c r="P1329" s="312">
        <v>0</v>
      </c>
      <c r="Q1329" s="288">
        <f t="shared" si="64"/>
        <v>0</v>
      </c>
      <c r="R1329" s="118">
        <v>0</v>
      </c>
      <c r="S1329" s="283">
        <v>2016</v>
      </c>
      <c r="T1329" s="288">
        <f t="shared" si="62"/>
        <v>22463</v>
      </c>
    </row>
    <row r="1330" spans="2:20">
      <c r="B1330" s="386" t="s">
        <v>1435</v>
      </c>
      <c r="C1330" s="114"/>
      <c r="D1330" s="111" t="s">
        <v>1546</v>
      </c>
      <c r="E1330" s="111" t="s">
        <v>2018</v>
      </c>
      <c r="F1330" s="111"/>
      <c r="G1330" s="110" t="s">
        <v>2073</v>
      </c>
      <c r="H1330" s="141">
        <v>1047.0586719999999</v>
      </c>
      <c r="I1330" s="280"/>
      <c r="J1330" s="72">
        <v>148.52000000000001</v>
      </c>
      <c r="K1330" s="271">
        <f t="shared" si="63"/>
        <v>155509.15396544</v>
      </c>
      <c r="L1330" s="111"/>
      <c r="M1330" s="73"/>
      <c r="N1330" s="112"/>
      <c r="O1330" s="111"/>
      <c r="P1330" s="312">
        <v>0</v>
      </c>
      <c r="Q1330" s="288">
        <f t="shared" si="64"/>
        <v>0</v>
      </c>
      <c r="R1330" s="118">
        <v>0</v>
      </c>
      <c r="S1330" s="283">
        <v>2016</v>
      </c>
      <c r="T1330" s="288">
        <f t="shared" si="62"/>
        <v>168508</v>
      </c>
    </row>
    <row r="1331" spans="2:20">
      <c r="B1331" s="386" t="s">
        <v>1436</v>
      </c>
      <c r="C1331" s="114"/>
      <c r="D1331" s="111" t="s">
        <v>1547</v>
      </c>
      <c r="E1331" s="111" t="s">
        <v>2019</v>
      </c>
      <c r="F1331" s="111"/>
      <c r="G1331" s="110" t="s">
        <v>2073</v>
      </c>
      <c r="H1331" s="141">
        <v>65.780063999999996</v>
      </c>
      <c r="I1331" s="280"/>
      <c r="J1331" s="72">
        <v>148.52000000000001</v>
      </c>
      <c r="K1331" s="271">
        <f t="shared" si="63"/>
        <v>9769.6551052800005</v>
      </c>
      <c r="L1331" s="111"/>
      <c r="M1331" s="73"/>
      <c r="N1331" s="112"/>
      <c r="O1331" s="111"/>
      <c r="P1331" s="312">
        <v>77.593200800000005</v>
      </c>
      <c r="Q1331" s="288">
        <f t="shared" si="64"/>
        <v>665.99999957728255</v>
      </c>
      <c r="R1331" s="118">
        <v>51677.0717</v>
      </c>
      <c r="S1331" s="283">
        <v>2016</v>
      </c>
      <c r="T1331" s="288">
        <f t="shared" si="62"/>
        <v>66674</v>
      </c>
    </row>
    <row r="1332" spans="2:20">
      <c r="B1332" s="386" t="s">
        <v>1437</v>
      </c>
      <c r="C1332" s="114"/>
      <c r="D1332" s="111" t="s">
        <v>1547</v>
      </c>
      <c r="E1332" s="111" t="s">
        <v>1899</v>
      </c>
      <c r="F1332" s="111"/>
      <c r="G1332" s="110" t="s">
        <v>2073</v>
      </c>
      <c r="H1332" s="141">
        <v>226.217163</v>
      </c>
      <c r="I1332" s="280"/>
      <c r="J1332" s="72">
        <v>148.52000000000001</v>
      </c>
      <c r="K1332" s="271">
        <f t="shared" si="63"/>
        <v>33597.773048760006</v>
      </c>
      <c r="L1332" s="111"/>
      <c r="M1332" s="73"/>
      <c r="N1332" s="112"/>
      <c r="O1332" s="111"/>
      <c r="P1332" s="312">
        <v>0</v>
      </c>
      <c r="Q1332" s="288">
        <f t="shared" si="64"/>
        <v>0</v>
      </c>
      <c r="R1332" s="118">
        <v>0</v>
      </c>
      <c r="S1332" s="283">
        <v>2016</v>
      </c>
      <c r="T1332" s="288">
        <f t="shared" si="62"/>
        <v>36406</v>
      </c>
    </row>
    <row r="1333" spans="2:20">
      <c r="B1333" s="386" t="s">
        <v>1438</v>
      </c>
      <c r="C1333" s="114"/>
      <c r="D1333" s="111" t="s">
        <v>1547</v>
      </c>
      <c r="E1333" s="111" t="s">
        <v>1902</v>
      </c>
      <c r="F1333" s="111"/>
      <c r="G1333" s="110" t="s">
        <v>2073</v>
      </c>
      <c r="H1333" s="141">
        <v>122.363806</v>
      </c>
      <c r="I1333" s="280"/>
      <c r="J1333" s="72">
        <v>148.52000000000001</v>
      </c>
      <c r="K1333" s="271">
        <f t="shared" si="63"/>
        <v>18173.472467120002</v>
      </c>
      <c r="L1333" s="111"/>
      <c r="M1333" s="73"/>
      <c r="N1333" s="112"/>
      <c r="O1333" s="111"/>
      <c r="P1333" s="312">
        <v>0</v>
      </c>
      <c r="Q1333" s="288">
        <f t="shared" si="64"/>
        <v>0</v>
      </c>
      <c r="R1333" s="118">
        <v>0</v>
      </c>
      <c r="S1333" s="283">
        <v>2016</v>
      </c>
      <c r="T1333" s="288">
        <f t="shared" si="62"/>
        <v>19693</v>
      </c>
    </row>
    <row r="1334" spans="2:20">
      <c r="B1334" s="386" t="s">
        <v>1439</v>
      </c>
      <c r="C1334" s="114"/>
      <c r="D1334" s="111" t="s">
        <v>1547</v>
      </c>
      <c r="E1334" s="111" t="s">
        <v>1902</v>
      </c>
      <c r="F1334" s="111"/>
      <c r="G1334" s="110" t="s">
        <v>2073</v>
      </c>
      <c r="H1334" s="141">
        <v>114.537586</v>
      </c>
      <c r="I1334" s="280"/>
      <c r="J1334" s="72">
        <v>148.52000000000001</v>
      </c>
      <c r="K1334" s="271">
        <f t="shared" si="63"/>
        <v>17011.12227272</v>
      </c>
      <c r="L1334" s="111"/>
      <c r="M1334" s="73"/>
      <c r="N1334" s="112"/>
      <c r="O1334" s="111"/>
      <c r="P1334" s="312">
        <v>0</v>
      </c>
      <c r="Q1334" s="288">
        <f t="shared" si="64"/>
        <v>0</v>
      </c>
      <c r="R1334" s="118">
        <v>0</v>
      </c>
      <c r="S1334" s="283">
        <v>2016</v>
      </c>
      <c r="T1334" s="288">
        <f t="shared" si="62"/>
        <v>18433</v>
      </c>
    </row>
    <row r="1335" spans="2:20">
      <c r="B1335" s="386" t="s">
        <v>1440</v>
      </c>
      <c r="C1335" s="114"/>
      <c r="D1335" s="111" t="s">
        <v>1546</v>
      </c>
      <c r="E1335" s="111" t="s">
        <v>2020</v>
      </c>
      <c r="F1335" s="111"/>
      <c r="G1335" s="110" t="s">
        <v>2073</v>
      </c>
      <c r="H1335" s="141">
        <v>19.964158000000001</v>
      </c>
      <c r="I1335" s="280"/>
      <c r="J1335" s="72">
        <v>148.52000000000001</v>
      </c>
      <c r="K1335" s="271">
        <f t="shared" si="63"/>
        <v>2965.0767461600003</v>
      </c>
      <c r="L1335" s="111"/>
      <c r="M1335" s="73"/>
      <c r="N1335" s="112"/>
      <c r="O1335" s="111"/>
      <c r="P1335" s="312">
        <v>0</v>
      </c>
      <c r="Q1335" s="288">
        <f t="shared" si="64"/>
        <v>0</v>
      </c>
      <c r="R1335" s="118">
        <v>0</v>
      </c>
      <c r="S1335" s="283">
        <v>2016</v>
      </c>
      <c r="T1335" s="288">
        <f t="shared" si="62"/>
        <v>3213</v>
      </c>
    </row>
    <row r="1336" spans="2:20">
      <c r="B1336" s="386" t="s">
        <v>1441</v>
      </c>
      <c r="C1336" s="114"/>
      <c r="D1336" s="111" t="s">
        <v>1547</v>
      </c>
      <c r="E1336" s="111" t="s">
        <v>2020</v>
      </c>
      <c r="F1336" s="111"/>
      <c r="G1336" s="110" t="s">
        <v>2073</v>
      </c>
      <c r="H1336" s="141">
        <v>10.139951</v>
      </c>
      <c r="I1336" s="280"/>
      <c r="J1336" s="72">
        <v>148.52000000000001</v>
      </c>
      <c r="K1336" s="271">
        <f t="shared" si="63"/>
        <v>1505.9855225200001</v>
      </c>
      <c r="L1336" s="111"/>
      <c r="M1336" s="73"/>
      <c r="N1336" s="112"/>
      <c r="O1336" s="111"/>
      <c r="P1336" s="312">
        <v>0</v>
      </c>
      <c r="Q1336" s="288">
        <f t="shared" si="64"/>
        <v>0</v>
      </c>
      <c r="R1336" s="118">
        <v>0</v>
      </c>
      <c r="S1336" s="283">
        <v>2016</v>
      </c>
      <c r="T1336" s="288">
        <f t="shared" si="62"/>
        <v>1632</v>
      </c>
    </row>
    <row r="1337" spans="2:20">
      <c r="B1337" s="386" t="s">
        <v>1442</v>
      </c>
      <c r="C1337" s="114"/>
      <c r="D1337" s="111" t="s">
        <v>1547</v>
      </c>
      <c r="E1337" s="111" t="s">
        <v>2021</v>
      </c>
      <c r="F1337" s="111"/>
      <c r="G1337" s="110" t="s">
        <v>2073</v>
      </c>
      <c r="H1337" s="141">
        <v>52.345852999999998</v>
      </c>
      <c r="I1337" s="280"/>
      <c r="J1337" s="72">
        <v>148.52000000000001</v>
      </c>
      <c r="K1337" s="271">
        <f t="shared" si="63"/>
        <v>7774.4060875599998</v>
      </c>
      <c r="L1337" s="111"/>
      <c r="M1337" s="73"/>
      <c r="N1337" s="112"/>
      <c r="O1337" s="111"/>
      <c r="P1337" s="312">
        <v>0</v>
      </c>
      <c r="Q1337" s="288">
        <f t="shared" si="64"/>
        <v>0</v>
      </c>
      <c r="R1337" s="118">
        <v>0</v>
      </c>
      <c r="S1337" s="283">
        <v>2016</v>
      </c>
      <c r="T1337" s="288">
        <f t="shared" si="62"/>
        <v>8424</v>
      </c>
    </row>
    <row r="1338" spans="2:20">
      <c r="B1338" s="386" t="s">
        <v>1443</v>
      </c>
      <c r="C1338" s="114"/>
      <c r="D1338" s="111" t="s">
        <v>1547</v>
      </c>
      <c r="E1338" s="111" t="s">
        <v>2022</v>
      </c>
      <c r="F1338" s="111"/>
      <c r="G1338" s="110" t="s">
        <v>2074</v>
      </c>
      <c r="H1338" s="141">
        <v>17.400279999999999</v>
      </c>
      <c r="I1338" s="280"/>
      <c r="J1338" s="72">
        <v>148.52000000000001</v>
      </c>
      <c r="K1338" s="271">
        <f t="shared" si="63"/>
        <v>2584.2895856</v>
      </c>
      <c r="L1338" s="111"/>
      <c r="M1338" s="73"/>
      <c r="N1338" s="112"/>
      <c r="O1338" s="111"/>
      <c r="P1338" s="312">
        <v>0</v>
      </c>
      <c r="Q1338" s="288">
        <f t="shared" si="64"/>
        <v>0</v>
      </c>
      <c r="R1338" s="118">
        <v>0</v>
      </c>
      <c r="S1338" s="283">
        <v>2016</v>
      </c>
      <c r="T1338" s="288">
        <f t="shared" si="62"/>
        <v>2800</v>
      </c>
    </row>
    <row r="1339" spans="2:20">
      <c r="B1339" s="386" t="s">
        <v>1444</v>
      </c>
      <c r="C1339" s="114"/>
      <c r="D1339" s="111" t="s">
        <v>1547</v>
      </c>
      <c r="E1339" s="111" t="s">
        <v>1932</v>
      </c>
      <c r="F1339" s="111"/>
      <c r="G1339" s="110" t="s">
        <v>2073</v>
      </c>
      <c r="H1339" s="141">
        <v>227.70959400000001</v>
      </c>
      <c r="I1339" s="280"/>
      <c r="J1339" s="72">
        <v>148.52000000000001</v>
      </c>
      <c r="K1339" s="271">
        <f t="shared" si="63"/>
        <v>33819.428900880004</v>
      </c>
      <c r="L1339" s="111"/>
      <c r="M1339" s="73"/>
      <c r="N1339" s="112"/>
      <c r="O1339" s="111"/>
      <c r="P1339" s="312">
        <v>0</v>
      </c>
      <c r="Q1339" s="288">
        <f t="shared" si="64"/>
        <v>0</v>
      </c>
      <c r="R1339" s="118">
        <v>0</v>
      </c>
      <c r="S1339" s="283">
        <v>2016</v>
      </c>
      <c r="T1339" s="288">
        <f t="shared" si="62"/>
        <v>36646</v>
      </c>
    </row>
    <row r="1340" spans="2:20">
      <c r="B1340" s="386" t="s">
        <v>1445</v>
      </c>
      <c r="C1340" s="114"/>
      <c r="D1340" s="111" t="s">
        <v>1547</v>
      </c>
      <c r="E1340" s="111" t="s">
        <v>2023</v>
      </c>
      <c r="F1340" s="111"/>
      <c r="G1340" s="110" t="s">
        <v>2073</v>
      </c>
      <c r="H1340" s="141">
        <v>206.841724</v>
      </c>
      <c r="I1340" s="280"/>
      <c r="J1340" s="72">
        <v>148.52000000000001</v>
      </c>
      <c r="K1340" s="271">
        <f t="shared" si="63"/>
        <v>30720.132848480003</v>
      </c>
      <c r="L1340" s="111"/>
      <c r="M1340" s="73"/>
      <c r="N1340" s="112"/>
      <c r="O1340" s="111"/>
      <c r="P1340" s="312">
        <v>0</v>
      </c>
      <c r="Q1340" s="288">
        <f t="shared" si="64"/>
        <v>0</v>
      </c>
      <c r="R1340" s="118">
        <v>0</v>
      </c>
      <c r="S1340" s="283">
        <v>2016</v>
      </c>
      <c r="T1340" s="288">
        <f t="shared" si="62"/>
        <v>33288</v>
      </c>
    </row>
    <row r="1341" spans="2:20">
      <c r="B1341" s="386" t="s">
        <v>1446</v>
      </c>
      <c r="C1341" s="114"/>
      <c r="D1341" s="111" t="s">
        <v>1547</v>
      </c>
      <c r="E1341" s="111" t="s">
        <v>2024</v>
      </c>
      <c r="F1341" s="111"/>
      <c r="G1341" s="110" t="s">
        <v>2073</v>
      </c>
      <c r="H1341" s="141">
        <v>17.332056999999999</v>
      </c>
      <c r="I1341" s="280"/>
      <c r="J1341" s="72">
        <v>148.52000000000001</v>
      </c>
      <c r="K1341" s="271">
        <f t="shared" si="63"/>
        <v>2574.1571056399998</v>
      </c>
      <c r="L1341" s="111"/>
      <c r="M1341" s="73"/>
      <c r="N1341" s="112"/>
      <c r="O1341" s="111"/>
      <c r="P1341" s="312">
        <v>0</v>
      </c>
      <c r="Q1341" s="288">
        <f t="shared" si="64"/>
        <v>0</v>
      </c>
      <c r="R1341" s="118">
        <v>0</v>
      </c>
      <c r="S1341" s="283">
        <v>2016</v>
      </c>
      <c r="T1341" s="288">
        <f t="shared" si="62"/>
        <v>2789</v>
      </c>
    </row>
    <row r="1342" spans="2:20">
      <c r="B1342" s="386" t="s">
        <v>1447</v>
      </c>
      <c r="C1342" s="114"/>
      <c r="D1342" s="111" t="s">
        <v>1547</v>
      </c>
      <c r="E1342" s="111" t="s">
        <v>2025</v>
      </c>
      <c r="F1342" s="111"/>
      <c r="G1342" s="110" t="s">
        <v>2073</v>
      </c>
      <c r="H1342" s="141">
        <v>583.06469000000004</v>
      </c>
      <c r="I1342" s="280"/>
      <c r="J1342" s="72">
        <v>148.52000000000001</v>
      </c>
      <c r="K1342" s="271">
        <f t="shared" si="63"/>
        <v>86596.767758800008</v>
      </c>
      <c r="L1342" s="111"/>
      <c r="M1342" s="73"/>
      <c r="N1342" s="112"/>
      <c r="O1342" s="111"/>
      <c r="P1342" s="312">
        <v>0</v>
      </c>
      <c r="Q1342" s="288">
        <f t="shared" si="64"/>
        <v>0</v>
      </c>
      <c r="R1342" s="118">
        <v>0</v>
      </c>
      <c r="S1342" s="283">
        <v>2016</v>
      </c>
      <c r="T1342" s="288">
        <f t="shared" si="62"/>
        <v>93835</v>
      </c>
    </row>
    <row r="1343" spans="2:20">
      <c r="B1343" s="386" t="s">
        <v>1448</v>
      </c>
      <c r="C1343" s="114"/>
      <c r="D1343" s="111" t="s">
        <v>1547</v>
      </c>
      <c r="E1343" s="111" t="s">
        <v>2026</v>
      </c>
      <c r="F1343" s="111"/>
      <c r="G1343" s="110" t="s">
        <v>2073</v>
      </c>
      <c r="H1343" s="141">
        <v>215.941146</v>
      </c>
      <c r="I1343" s="280"/>
      <c r="J1343" s="72">
        <v>148.52000000000001</v>
      </c>
      <c r="K1343" s="271">
        <f t="shared" si="63"/>
        <v>32071.579003920004</v>
      </c>
      <c r="L1343" s="111"/>
      <c r="M1343" s="73"/>
      <c r="N1343" s="112"/>
      <c r="O1343" s="111"/>
      <c r="P1343" s="312">
        <v>0</v>
      </c>
      <c r="Q1343" s="288">
        <f t="shared" si="64"/>
        <v>0</v>
      </c>
      <c r="R1343" s="118">
        <v>0</v>
      </c>
      <c r="S1343" s="283">
        <v>2016</v>
      </c>
      <c r="T1343" s="288">
        <f t="shared" si="62"/>
        <v>34752</v>
      </c>
    </row>
    <row r="1344" spans="2:20">
      <c r="B1344" s="386" t="s">
        <v>1449</v>
      </c>
      <c r="C1344" s="114"/>
      <c r="D1344" s="111" t="s">
        <v>1547</v>
      </c>
      <c r="E1344" s="111" t="s">
        <v>2027</v>
      </c>
      <c r="F1344" s="111"/>
      <c r="G1344" s="110" t="s">
        <v>2073</v>
      </c>
      <c r="H1344" s="141">
        <v>264.74526400000002</v>
      </c>
      <c r="I1344" s="280"/>
      <c r="J1344" s="72">
        <v>148.52000000000001</v>
      </c>
      <c r="K1344" s="271">
        <f t="shared" si="63"/>
        <v>39319.966609280003</v>
      </c>
      <c r="L1344" s="111"/>
      <c r="M1344" s="73"/>
      <c r="N1344" s="112"/>
      <c r="O1344" s="111"/>
      <c r="P1344" s="312">
        <v>0</v>
      </c>
      <c r="Q1344" s="288">
        <f t="shared" si="64"/>
        <v>0</v>
      </c>
      <c r="R1344" s="118">
        <v>0</v>
      </c>
      <c r="S1344" s="283">
        <v>2016</v>
      </c>
      <c r="T1344" s="288">
        <f t="shared" si="62"/>
        <v>42607</v>
      </c>
    </row>
    <row r="1345" spans="2:20">
      <c r="B1345" s="386" t="s">
        <v>1450</v>
      </c>
      <c r="C1345" s="114"/>
      <c r="D1345" s="111" t="s">
        <v>1547</v>
      </c>
      <c r="E1345" s="111" t="s">
        <v>2028</v>
      </c>
      <c r="F1345" s="111"/>
      <c r="G1345" s="110" t="s">
        <v>2073</v>
      </c>
      <c r="H1345" s="141">
        <v>448.26799299999999</v>
      </c>
      <c r="I1345" s="280"/>
      <c r="J1345" s="72">
        <v>148.52000000000001</v>
      </c>
      <c r="K1345" s="271">
        <f t="shared" si="63"/>
        <v>66576.762320360009</v>
      </c>
      <c r="L1345" s="111"/>
      <c r="M1345" s="73"/>
      <c r="N1345" s="112"/>
      <c r="O1345" s="111"/>
      <c r="P1345" s="312">
        <v>0</v>
      </c>
      <c r="Q1345" s="288">
        <f t="shared" si="64"/>
        <v>0</v>
      </c>
      <c r="R1345" s="118">
        <v>0</v>
      </c>
      <c r="S1345" s="283">
        <v>2016</v>
      </c>
      <c r="T1345" s="288">
        <f t="shared" si="62"/>
        <v>72142</v>
      </c>
    </row>
    <row r="1346" spans="2:20">
      <c r="B1346" s="386" t="s">
        <v>1451</v>
      </c>
      <c r="C1346" s="114"/>
      <c r="D1346" s="111" t="s">
        <v>1547</v>
      </c>
      <c r="E1346" s="111" t="s">
        <v>2028</v>
      </c>
      <c r="F1346" s="111"/>
      <c r="G1346" s="110" t="s">
        <v>2073</v>
      </c>
      <c r="H1346" s="141">
        <v>6.538176</v>
      </c>
      <c r="I1346" s="280"/>
      <c r="J1346" s="72">
        <v>148.52000000000001</v>
      </c>
      <c r="K1346" s="271">
        <f t="shared" si="63"/>
        <v>971.04989952000005</v>
      </c>
      <c r="L1346" s="111"/>
      <c r="M1346" s="73"/>
      <c r="N1346" s="112"/>
      <c r="O1346" s="111"/>
      <c r="P1346" s="312">
        <v>0</v>
      </c>
      <c r="Q1346" s="288">
        <f t="shared" si="64"/>
        <v>0</v>
      </c>
      <c r="R1346" s="118">
        <v>0</v>
      </c>
      <c r="S1346" s="283">
        <v>2016</v>
      </c>
      <c r="T1346" s="288">
        <f t="shared" si="62"/>
        <v>1052</v>
      </c>
    </row>
    <row r="1347" spans="2:20">
      <c r="B1347" s="386" t="s">
        <v>1452</v>
      </c>
      <c r="C1347" s="114"/>
      <c r="D1347" s="111" t="s">
        <v>1547</v>
      </c>
      <c r="E1347" s="111" t="s">
        <v>2028</v>
      </c>
      <c r="F1347" s="111"/>
      <c r="G1347" s="110" t="s">
        <v>2073</v>
      </c>
      <c r="H1347" s="141">
        <v>378.963707</v>
      </c>
      <c r="I1347" s="280"/>
      <c r="J1347" s="72">
        <v>148.52000000000001</v>
      </c>
      <c r="K1347" s="271">
        <f t="shared" si="63"/>
        <v>56283.689763640003</v>
      </c>
      <c r="L1347" s="111"/>
      <c r="M1347" s="73"/>
      <c r="N1347" s="112"/>
      <c r="O1347" s="111"/>
      <c r="P1347" s="312">
        <v>0</v>
      </c>
      <c r="Q1347" s="288">
        <f t="shared" si="64"/>
        <v>0</v>
      </c>
      <c r="R1347" s="118">
        <v>0</v>
      </c>
      <c r="S1347" s="283">
        <v>2016</v>
      </c>
      <c r="T1347" s="288">
        <f t="shared" si="62"/>
        <v>60988</v>
      </c>
    </row>
    <row r="1348" spans="2:20">
      <c r="B1348" s="386" t="s">
        <v>1453</v>
      </c>
      <c r="C1348" s="114"/>
      <c r="D1348" s="111" t="s">
        <v>1547</v>
      </c>
      <c r="E1348" s="111" t="s">
        <v>2029</v>
      </c>
      <c r="F1348" s="111"/>
      <c r="G1348" s="110" t="s">
        <v>2073</v>
      </c>
      <c r="H1348" s="141">
        <v>314.42168299999997</v>
      </c>
      <c r="I1348" s="280"/>
      <c r="J1348" s="72">
        <v>148.52000000000001</v>
      </c>
      <c r="K1348" s="271">
        <f t="shared" si="63"/>
        <v>46697.908359159999</v>
      </c>
      <c r="L1348" s="111"/>
      <c r="M1348" s="73"/>
      <c r="N1348" s="112"/>
      <c r="O1348" s="111"/>
      <c r="P1348" s="312">
        <v>0</v>
      </c>
      <c r="Q1348" s="288">
        <f t="shared" si="64"/>
        <v>0</v>
      </c>
      <c r="R1348" s="118">
        <v>0</v>
      </c>
      <c r="S1348" s="283">
        <v>2016</v>
      </c>
      <c r="T1348" s="288">
        <f t="shared" si="62"/>
        <v>50601</v>
      </c>
    </row>
    <row r="1349" spans="2:20">
      <c r="B1349" s="386" t="s">
        <v>1454</v>
      </c>
      <c r="C1349" s="114"/>
      <c r="D1349" s="111" t="s">
        <v>1547</v>
      </c>
      <c r="E1349" s="111" t="s">
        <v>2029</v>
      </c>
      <c r="F1349" s="111"/>
      <c r="G1349" s="110" t="s">
        <v>2073</v>
      </c>
      <c r="H1349" s="141">
        <v>58.676816000000002</v>
      </c>
      <c r="I1349" s="280"/>
      <c r="J1349" s="72">
        <v>148.52000000000001</v>
      </c>
      <c r="K1349" s="271">
        <f t="shared" si="63"/>
        <v>8714.6807123200015</v>
      </c>
      <c r="L1349" s="111"/>
      <c r="M1349" s="73"/>
      <c r="N1349" s="112"/>
      <c r="O1349" s="111"/>
      <c r="P1349" s="312">
        <v>0</v>
      </c>
      <c r="Q1349" s="288">
        <f t="shared" si="64"/>
        <v>0</v>
      </c>
      <c r="R1349" s="118">
        <v>0</v>
      </c>
      <c r="S1349" s="283">
        <v>2016</v>
      </c>
      <c r="T1349" s="288">
        <f t="shared" si="62"/>
        <v>9443</v>
      </c>
    </row>
    <row r="1350" spans="2:20">
      <c r="B1350" s="386" t="s">
        <v>1455</v>
      </c>
      <c r="C1350" s="114"/>
      <c r="D1350" s="111" t="s">
        <v>1547</v>
      </c>
      <c r="E1350" s="111" t="s">
        <v>2029</v>
      </c>
      <c r="F1350" s="111"/>
      <c r="G1350" s="110" t="s">
        <v>2073</v>
      </c>
      <c r="H1350" s="141">
        <v>130.52103600000001</v>
      </c>
      <c r="I1350" s="280"/>
      <c r="J1350" s="72">
        <v>148.52000000000001</v>
      </c>
      <c r="K1350" s="271">
        <f t="shared" si="63"/>
        <v>19384.984266720003</v>
      </c>
      <c r="L1350" s="111"/>
      <c r="M1350" s="73"/>
      <c r="N1350" s="112"/>
      <c r="O1350" s="111"/>
      <c r="P1350" s="312">
        <v>0</v>
      </c>
      <c r="Q1350" s="288">
        <f t="shared" si="64"/>
        <v>0</v>
      </c>
      <c r="R1350" s="118">
        <v>0</v>
      </c>
      <c r="S1350" s="283">
        <v>2016</v>
      </c>
      <c r="T1350" s="288">
        <f t="shared" si="62"/>
        <v>21005</v>
      </c>
    </row>
    <row r="1351" spans="2:20">
      <c r="B1351" s="386" t="s">
        <v>1456</v>
      </c>
      <c r="C1351" s="114"/>
      <c r="D1351" s="111" t="s">
        <v>1547</v>
      </c>
      <c r="E1351" s="111" t="s">
        <v>2029</v>
      </c>
      <c r="F1351" s="111"/>
      <c r="G1351" s="110" t="s">
        <v>2073</v>
      </c>
      <c r="H1351" s="141">
        <v>145.18500700000001</v>
      </c>
      <c r="I1351" s="280"/>
      <c r="J1351" s="72">
        <v>148.52000000000001</v>
      </c>
      <c r="K1351" s="271">
        <f t="shared" si="63"/>
        <v>21562.877239640002</v>
      </c>
      <c r="L1351" s="111"/>
      <c r="M1351" s="73"/>
      <c r="N1351" s="112"/>
      <c r="O1351" s="111"/>
      <c r="P1351" s="312">
        <v>0</v>
      </c>
      <c r="Q1351" s="288">
        <f t="shared" si="64"/>
        <v>0</v>
      </c>
      <c r="R1351" s="118">
        <v>0</v>
      </c>
      <c r="S1351" s="283">
        <v>2016</v>
      </c>
      <c r="T1351" s="288">
        <f t="shared" si="62"/>
        <v>23365</v>
      </c>
    </row>
    <row r="1352" spans="2:20">
      <c r="B1352" s="386" t="s">
        <v>1457</v>
      </c>
      <c r="C1352" s="114"/>
      <c r="D1352" s="111" t="s">
        <v>1547</v>
      </c>
      <c r="E1352" s="111" t="s">
        <v>2029</v>
      </c>
      <c r="F1352" s="111"/>
      <c r="G1352" s="110" t="s">
        <v>2073</v>
      </c>
      <c r="H1352" s="141">
        <v>577.04677100000004</v>
      </c>
      <c r="I1352" s="280"/>
      <c r="J1352" s="72">
        <v>148.52000000000001</v>
      </c>
      <c r="K1352" s="271">
        <f t="shared" si="63"/>
        <v>85702.986428920005</v>
      </c>
      <c r="L1352" s="111"/>
      <c r="M1352" s="73"/>
      <c r="N1352" s="112"/>
      <c r="O1352" s="111"/>
      <c r="P1352" s="312">
        <v>0</v>
      </c>
      <c r="Q1352" s="288">
        <f t="shared" si="64"/>
        <v>0</v>
      </c>
      <c r="R1352" s="118">
        <v>0</v>
      </c>
      <c r="S1352" s="283">
        <v>2016</v>
      </c>
      <c r="T1352" s="288">
        <f t="shared" si="62"/>
        <v>92867</v>
      </c>
    </row>
    <row r="1353" spans="2:20">
      <c r="B1353" s="386" t="s">
        <v>1458</v>
      </c>
      <c r="C1353" s="114"/>
      <c r="D1353" s="111" t="s">
        <v>1547</v>
      </c>
      <c r="E1353" s="111" t="s">
        <v>2021</v>
      </c>
      <c r="F1353" s="111"/>
      <c r="G1353" s="110" t="s">
        <v>2073</v>
      </c>
      <c r="H1353" s="141">
        <v>68.089645000000004</v>
      </c>
      <c r="I1353" s="280"/>
      <c r="J1353" s="72">
        <v>148.52000000000001</v>
      </c>
      <c r="K1353" s="271">
        <f t="shared" si="63"/>
        <v>10112.674075400002</v>
      </c>
      <c r="L1353" s="111"/>
      <c r="M1353" s="73"/>
      <c r="N1353" s="112"/>
      <c r="O1353" s="111"/>
      <c r="P1353" s="312">
        <v>0</v>
      </c>
      <c r="Q1353" s="288">
        <f t="shared" si="64"/>
        <v>0</v>
      </c>
      <c r="R1353" s="118">
        <v>0</v>
      </c>
      <c r="S1353" s="283">
        <v>2016</v>
      </c>
      <c r="T1353" s="288">
        <f t="shared" si="62"/>
        <v>10958</v>
      </c>
    </row>
    <row r="1354" spans="2:20">
      <c r="B1354" s="386" t="s">
        <v>1459</v>
      </c>
      <c r="C1354" s="114"/>
      <c r="D1354" s="111" t="s">
        <v>1547</v>
      </c>
      <c r="E1354" s="111" t="s">
        <v>2030</v>
      </c>
      <c r="F1354" s="111"/>
      <c r="G1354" s="110" t="s">
        <v>2073</v>
      </c>
      <c r="H1354" s="141">
        <v>794.95550600000001</v>
      </c>
      <c r="I1354" s="280"/>
      <c r="J1354" s="72">
        <v>148.52000000000001</v>
      </c>
      <c r="K1354" s="271">
        <f t="shared" si="63"/>
        <v>118066.79175112001</v>
      </c>
      <c r="L1354" s="111"/>
      <c r="M1354" s="73"/>
      <c r="N1354" s="112"/>
      <c r="O1354" s="111"/>
      <c r="P1354" s="312">
        <v>0</v>
      </c>
      <c r="Q1354" s="288">
        <f t="shared" si="64"/>
        <v>0</v>
      </c>
      <c r="R1354" s="118">
        <v>0</v>
      </c>
      <c r="S1354" s="283">
        <v>2016</v>
      </c>
      <c r="T1354" s="288">
        <f t="shared" si="62"/>
        <v>127936</v>
      </c>
    </row>
    <row r="1355" spans="2:20">
      <c r="B1355" s="386" t="s">
        <v>1460</v>
      </c>
      <c r="C1355" s="114"/>
      <c r="D1355" s="111" t="s">
        <v>1547</v>
      </c>
      <c r="E1355" s="111" t="s">
        <v>2030</v>
      </c>
      <c r="F1355" s="111"/>
      <c r="G1355" s="110" t="s">
        <v>2073</v>
      </c>
      <c r="H1355" s="141">
        <v>30.242908</v>
      </c>
      <c r="I1355" s="280"/>
      <c r="J1355" s="72">
        <v>148.52000000000001</v>
      </c>
      <c r="K1355" s="271">
        <f t="shared" si="63"/>
        <v>4491.6766961600006</v>
      </c>
      <c r="L1355" s="111"/>
      <c r="M1355" s="73"/>
      <c r="N1355" s="112"/>
      <c r="O1355" s="111"/>
      <c r="P1355" s="312">
        <v>0</v>
      </c>
      <c r="Q1355" s="288">
        <f t="shared" si="64"/>
        <v>0</v>
      </c>
      <c r="R1355" s="118">
        <v>0</v>
      </c>
      <c r="S1355" s="283">
        <v>2016</v>
      </c>
      <c r="T1355" s="288">
        <f t="shared" si="62"/>
        <v>4867</v>
      </c>
    </row>
    <row r="1356" spans="2:20">
      <c r="B1356" s="386" t="s">
        <v>1461</v>
      </c>
      <c r="C1356" s="114"/>
      <c r="D1356" s="111" t="s">
        <v>1547</v>
      </c>
      <c r="E1356" s="111" t="s">
        <v>2030</v>
      </c>
      <c r="F1356" s="111"/>
      <c r="G1356" s="110" t="s">
        <v>2073</v>
      </c>
      <c r="H1356" s="141">
        <v>521.49379199999998</v>
      </c>
      <c r="I1356" s="280"/>
      <c r="J1356" s="72">
        <v>148.52000000000001</v>
      </c>
      <c r="K1356" s="271">
        <f t="shared" si="63"/>
        <v>77452.257987839999</v>
      </c>
      <c r="L1356" s="111"/>
      <c r="M1356" s="73"/>
      <c r="N1356" s="112"/>
      <c r="O1356" s="111"/>
      <c r="P1356" s="312">
        <v>0</v>
      </c>
      <c r="Q1356" s="288">
        <f t="shared" si="64"/>
        <v>0</v>
      </c>
      <c r="R1356" s="118">
        <v>0</v>
      </c>
      <c r="S1356" s="283">
        <v>2016</v>
      </c>
      <c r="T1356" s="288">
        <f t="shared" si="62"/>
        <v>83926</v>
      </c>
    </row>
    <row r="1357" spans="2:20">
      <c r="B1357" s="386" t="s">
        <v>1462</v>
      </c>
      <c r="C1357" s="114"/>
      <c r="D1357" s="111" t="s">
        <v>1547</v>
      </c>
      <c r="E1357" s="111" t="s">
        <v>2030</v>
      </c>
      <c r="F1357" s="111"/>
      <c r="G1357" s="110" t="s">
        <v>2073</v>
      </c>
      <c r="H1357" s="141">
        <v>56.292172000000001</v>
      </c>
      <c r="I1357" s="280"/>
      <c r="J1357" s="72">
        <v>148.52000000000001</v>
      </c>
      <c r="K1357" s="271">
        <f t="shared" si="63"/>
        <v>8360.513385440001</v>
      </c>
      <c r="L1357" s="111"/>
      <c r="M1357" s="73"/>
      <c r="N1357" s="112"/>
      <c r="O1357" s="111"/>
      <c r="P1357" s="312">
        <v>0</v>
      </c>
      <c r="Q1357" s="288">
        <f t="shared" si="64"/>
        <v>0</v>
      </c>
      <c r="R1357" s="118">
        <v>0</v>
      </c>
      <c r="S1357" s="283">
        <v>2016</v>
      </c>
      <c r="T1357" s="288">
        <f t="shared" ref="T1357:T1420" si="65">IFERROR(ROUND((K1357*(1+PPI_Existing)^(YEAR-S1357))+(R1357*((1+LandInd_Existing)^(YEAR-S1357))),0),0)</f>
        <v>9059</v>
      </c>
    </row>
    <row r="1358" spans="2:20">
      <c r="B1358" s="386" t="s">
        <v>1463</v>
      </c>
      <c r="C1358" s="114"/>
      <c r="D1358" s="111" t="s">
        <v>1547</v>
      </c>
      <c r="E1358" s="111" t="s">
        <v>2030</v>
      </c>
      <c r="F1358" s="111"/>
      <c r="G1358" s="110" t="s">
        <v>2073</v>
      </c>
      <c r="H1358" s="141">
        <v>14.944917</v>
      </c>
      <c r="I1358" s="280"/>
      <c r="J1358" s="72">
        <v>148.52000000000001</v>
      </c>
      <c r="K1358" s="271">
        <f t="shared" ref="K1358:K1420" si="66">J1358*H1358</f>
        <v>2219.6190728400002</v>
      </c>
      <c r="L1358" s="111"/>
      <c r="M1358" s="73"/>
      <c r="N1358" s="112"/>
      <c r="O1358" s="111"/>
      <c r="P1358" s="312">
        <v>0</v>
      </c>
      <c r="Q1358" s="288">
        <f t="shared" ref="Q1358:Q1420" si="67">IFERROR(R1358/P1358,0)</f>
        <v>0</v>
      </c>
      <c r="R1358" s="118">
        <v>0</v>
      </c>
      <c r="S1358" s="283">
        <v>2016</v>
      </c>
      <c r="T1358" s="288">
        <f t="shared" si="65"/>
        <v>2405</v>
      </c>
    </row>
    <row r="1359" spans="2:20">
      <c r="B1359" s="386" t="s">
        <v>1464</v>
      </c>
      <c r="C1359" s="114"/>
      <c r="D1359" s="111" t="s">
        <v>1547</v>
      </c>
      <c r="E1359" s="111" t="s">
        <v>2031</v>
      </c>
      <c r="F1359" s="111"/>
      <c r="G1359" s="110" t="s">
        <v>2073</v>
      </c>
      <c r="H1359" s="141">
        <v>531.42811300000005</v>
      </c>
      <c r="I1359" s="280"/>
      <c r="J1359" s="72">
        <v>148.52000000000001</v>
      </c>
      <c r="K1359" s="271">
        <f t="shared" si="66"/>
        <v>78927.703342760011</v>
      </c>
      <c r="L1359" s="111"/>
      <c r="M1359" s="73"/>
      <c r="N1359" s="112"/>
      <c r="O1359" s="111"/>
      <c r="P1359" s="312">
        <v>0</v>
      </c>
      <c r="Q1359" s="288">
        <f t="shared" si="67"/>
        <v>0</v>
      </c>
      <c r="R1359" s="118">
        <v>0</v>
      </c>
      <c r="S1359" s="283">
        <v>2016</v>
      </c>
      <c r="T1359" s="288">
        <f t="shared" si="65"/>
        <v>85525</v>
      </c>
    </row>
    <row r="1360" spans="2:20">
      <c r="B1360" s="386" t="s">
        <v>1465</v>
      </c>
      <c r="C1360" s="114"/>
      <c r="D1360" s="111" t="s">
        <v>1547</v>
      </c>
      <c r="E1360" s="111" t="s">
        <v>2031</v>
      </c>
      <c r="F1360" s="111"/>
      <c r="G1360" s="110" t="s">
        <v>2073</v>
      </c>
      <c r="H1360" s="141">
        <v>168.05529899999999</v>
      </c>
      <c r="I1360" s="280"/>
      <c r="J1360" s="72">
        <v>148.52000000000001</v>
      </c>
      <c r="K1360" s="271">
        <f t="shared" si="66"/>
        <v>24959.573007480001</v>
      </c>
      <c r="L1360" s="111"/>
      <c r="M1360" s="73"/>
      <c r="N1360" s="112"/>
      <c r="O1360" s="111"/>
      <c r="P1360" s="312">
        <v>0</v>
      </c>
      <c r="Q1360" s="288">
        <f t="shared" si="67"/>
        <v>0</v>
      </c>
      <c r="R1360" s="118">
        <v>0</v>
      </c>
      <c r="S1360" s="283">
        <v>2016</v>
      </c>
      <c r="T1360" s="288">
        <f t="shared" si="65"/>
        <v>27046</v>
      </c>
    </row>
    <row r="1361" spans="2:20">
      <c r="B1361" s="386" t="s">
        <v>1466</v>
      </c>
      <c r="C1361" s="114"/>
      <c r="D1361" s="111" t="s">
        <v>1547</v>
      </c>
      <c r="E1361" s="111" t="s">
        <v>2031</v>
      </c>
      <c r="F1361" s="111"/>
      <c r="G1361" s="110" t="s">
        <v>2073</v>
      </c>
      <c r="H1361" s="141">
        <v>1295.978795</v>
      </c>
      <c r="I1361" s="280"/>
      <c r="J1361" s="72">
        <v>148.52000000000001</v>
      </c>
      <c r="K1361" s="271">
        <f t="shared" si="66"/>
        <v>192478.77063340001</v>
      </c>
      <c r="L1361" s="111"/>
      <c r="M1361" s="73"/>
      <c r="N1361" s="112"/>
      <c r="O1361" s="111"/>
      <c r="P1361" s="312">
        <v>0</v>
      </c>
      <c r="Q1361" s="288">
        <f t="shared" si="67"/>
        <v>0</v>
      </c>
      <c r="R1361" s="118">
        <v>0</v>
      </c>
      <c r="S1361" s="283">
        <v>2016</v>
      </c>
      <c r="T1361" s="288">
        <f t="shared" si="65"/>
        <v>208568</v>
      </c>
    </row>
    <row r="1362" spans="2:20">
      <c r="B1362" s="386" t="s">
        <v>1467</v>
      </c>
      <c r="C1362" s="114"/>
      <c r="D1362" s="111" t="s">
        <v>1547</v>
      </c>
      <c r="E1362" s="111" t="s">
        <v>2031</v>
      </c>
      <c r="F1362" s="111"/>
      <c r="G1362" s="110" t="s">
        <v>2073</v>
      </c>
      <c r="H1362" s="141">
        <v>746.20469700000001</v>
      </c>
      <c r="I1362" s="280"/>
      <c r="J1362" s="72">
        <v>148.52000000000001</v>
      </c>
      <c r="K1362" s="271">
        <f t="shared" si="66"/>
        <v>110826.32159844002</v>
      </c>
      <c r="L1362" s="111"/>
      <c r="M1362" s="73"/>
      <c r="N1362" s="112"/>
      <c r="O1362" s="111"/>
      <c r="P1362" s="312">
        <v>0</v>
      </c>
      <c r="Q1362" s="288">
        <f t="shared" si="67"/>
        <v>0</v>
      </c>
      <c r="R1362" s="118">
        <v>0</v>
      </c>
      <c r="S1362" s="283">
        <v>2016</v>
      </c>
      <c r="T1362" s="288">
        <f t="shared" si="65"/>
        <v>120090</v>
      </c>
    </row>
    <row r="1363" spans="2:20">
      <c r="B1363" s="386" t="s">
        <v>1468</v>
      </c>
      <c r="C1363" s="114"/>
      <c r="D1363" s="111" t="s">
        <v>1547</v>
      </c>
      <c r="E1363" s="111" t="s">
        <v>2031</v>
      </c>
      <c r="F1363" s="111"/>
      <c r="G1363" s="110" t="s">
        <v>2073</v>
      </c>
      <c r="H1363" s="141">
        <v>535.47810600000003</v>
      </c>
      <c r="I1363" s="280"/>
      <c r="J1363" s="72">
        <v>148.52000000000001</v>
      </c>
      <c r="K1363" s="271">
        <f t="shared" si="66"/>
        <v>79529.208303120016</v>
      </c>
      <c r="L1363" s="111"/>
      <c r="M1363" s="73"/>
      <c r="N1363" s="112"/>
      <c r="O1363" s="111"/>
      <c r="P1363" s="312">
        <v>0</v>
      </c>
      <c r="Q1363" s="288">
        <f t="shared" si="67"/>
        <v>0</v>
      </c>
      <c r="R1363" s="118">
        <v>0</v>
      </c>
      <c r="S1363" s="283">
        <v>2016</v>
      </c>
      <c r="T1363" s="288">
        <f t="shared" si="65"/>
        <v>86177</v>
      </c>
    </row>
    <row r="1364" spans="2:20">
      <c r="B1364" s="386" t="s">
        <v>1469</v>
      </c>
      <c r="C1364" s="114"/>
      <c r="D1364" s="111" t="s">
        <v>1547</v>
      </c>
      <c r="E1364" s="111" t="s">
        <v>2032</v>
      </c>
      <c r="F1364" s="111"/>
      <c r="G1364" s="110" t="s">
        <v>2073</v>
      </c>
      <c r="H1364" s="141">
        <v>201.763453</v>
      </c>
      <c r="I1364" s="280"/>
      <c r="J1364" s="72">
        <v>148.52000000000001</v>
      </c>
      <c r="K1364" s="271">
        <f t="shared" si="66"/>
        <v>29965.908039560003</v>
      </c>
      <c r="L1364" s="111"/>
      <c r="M1364" s="73"/>
      <c r="N1364" s="112"/>
      <c r="O1364" s="111"/>
      <c r="P1364" s="312">
        <v>0</v>
      </c>
      <c r="Q1364" s="288">
        <f t="shared" si="67"/>
        <v>0</v>
      </c>
      <c r="R1364" s="118">
        <v>0</v>
      </c>
      <c r="S1364" s="283">
        <v>2016</v>
      </c>
      <c r="T1364" s="288">
        <f t="shared" si="65"/>
        <v>32471</v>
      </c>
    </row>
    <row r="1365" spans="2:20">
      <c r="B1365" s="386" t="s">
        <v>1470</v>
      </c>
      <c r="C1365" s="114"/>
      <c r="D1365" s="111" t="s">
        <v>1547</v>
      </c>
      <c r="E1365" s="111" t="s">
        <v>2032</v>
      </c>
      <c r="F1365" s="111"/>
      <c r="G1365" s="110" t="s">
        <v>2073</v>
      </c>
      <c r="H1365" s="141">
        <v>39.068708000000001</v>
      </c>
      <c r="I1365" s="280"/>
      <c r="J1365" s="72">
        <v>148.52000000000001</v>
      </c>
      <c r="K1365" s="271">
        <f t="shared" si="66"/>
        <v>5802.4845121600001</v>
      </c>
      <c r="L1365" s="111"/>
      <c r="M1365" s="73"/>
      <c r="N1365" s="112"/>
      <c r="O1365" s="111"/>
      <c r="P1365" s="312">
        <v>0</v>
      </c>
      <c r="Q1365" s="288">
        <f t="shared" si="67"/>
        <v>0</v>
      </c>
      <c r="R1365" s="118">
        <v>0</v>
      </c>
      <c r="S1365" s="283">
        <v>2016</v>
      </c>
      <c r="T1365" s="288">
        <f t="shared" si="65"/>
        <v>6288</v>
      </c>
    </row>
    <row r="1366" spans="2:20">
      <c r="B1366" s="386" t="s">
        <v>1471</v>
      </c>
      <c r="C1366" s="114"/>
      <c r="D1366" s="111" t="s">
        <v>1547</v>
      </c>
      <c r="E1366" s="111" t="s">
        <v>2032</v>
      </c>
      <c r="F1366" s="111"/>
      <c r="G1366" s="110" t="s">
        <v>2073</v>
      </c>
      <c r="H1366" s="141">
        <v>21.113412</v>
      </c>
      <c r="I1366" s="280"/>
      <c r="J1366" s="72">
        <v>148.52000000000001</v>
      </c>
      <c r="K1366" s="271">
        <f t="shared" si="66"/>
        <v>3135.7639502400002</v>
      </c>
      <c r="L1366" s="111"/>
      <c r="M1366" s="73"/>
      <c r="N1366" s="112"/>
      <c r="O1366" s="111"/>
      <c r="P1366" s="312">
        <v>0</v>
      </c>
      <c r="Q1366" s="288">
        <f t="shared" si="67"/>
        <v>0</v>
      </c>
      <c r="R1366" s="118">
        <v>0</v>
      </c>
      <c r="S1366" s="283">
        <v>2016</v>
      </c>
      <c r="T1366" s="288">
        <f t="shared" si="65"/>
        <v>3398</v>
      </c>
    </row>
    <row r="1367" spans="2:20">
      <c r="B1367" s="386" t="s">
        <v>1472</v>
      </c>
      <c r="C1367" s="114"/>
      <c r="D1367" s="111" t="s">
        <v>1547</v>
      </c>
      <c r="E1367" s="111" t="s">
        <v>2032</v>
      </c>
      <c r="F1367" s="111"/>
      <c r="G1367" s="110" t="s">
        <v>2073</v>
      </c>
      <c r="H1367" s="141">
        <v>120.926305</v>
      </c>
      <c r="I1367" s="280"/>
      <c r="J1367" s="72">
        <v>148.52000000000001</v>
      </c>
      <c r="K1367" s="271">
        <f t="shared" si="66"/>
        <v>17959.9748186</v>
      </c>
      <c r="L1367" s="111"/>
      <c r="M1367" s="73"/>
      <c r="N1367" s="112"/>
      <c r="O1367" s="111"/>
      <c r="P1367" s="312">
        <v>0</v>
      </c>
      <c r="Q1367" s="288">
        <f t="shared" si="67"/>
        <v>0</v>
      </c>
      <c r="R1367" s="118">
        <v>0</v>
      </c>
      <c r="S1367" s="283">
        <v>2016</v>
      </c>
      <c r="T1367" s="288">
        <f t="shared" si="65"/>
        <v>19461</v>
      </c>
    </row>
    <row r="1368" spans="2:20">
      <c r="B1368" s="386" t="s">
        <v>1473</v>
      </c>
      <c r="C1368" s="114"/>
      <c r="D1368" s="111" t="s">
        <v>1547</v>
      </c>
      <c r="E1368" s="111" t="s">
        <v>2033</v>
      </c>
      <c r="F1368" s="111"/>
      <c r="G1368" s="110" t="s">
        <v>2073</v>
      </c>
      <c r="H1368" s="141">
        <v>28.306270999999999</v>
      </c>
      <c r="I1368" s="280"/>
      <c r="J1368" s="72">
        <v>148.52000000000001</v>
      </c>
      <c r="K1368" s="271">
        <f t="shared" si="66"/>
        <v>4204.0473689199998</v>
      </c>
      <c r="L1368" s="111"/>
      <c r="M1368" s="73"/>
      <c r="N1368" s="112"/>
      <c r="O1368" s="111"/>
      <c r="P1368" s="312">
        <v>0</v>
      </c>
      <c r="Q1368" s="288">
        <f t="shared" si="67"/>
        <v>0</v>
      </c>
      <c r="R1368" s="118">
        <v>0</v>
      </c>
      <c r="S1368" s="283">
        <v>2016</v>
      </c>
      <c r="T1368" s="288">
        <f t="shared" si="65"/>
        <v>4555</v>
      </c>
    </row>
    <row r="1369" spans="2:20">
      <c r="B1369" s="386" t="s">
        <v>1474</v>
      </c>
      <c r="C1369" s="114"/>
      <c r="D1369" s="111" t="s">
        <v>1547</v>
      </c>
      <c r="E1369" s="111" t="s">
        <v>2033</v>
      </c>
      <c r="F1369" s="111"/>
      <c r="G1369" s="110" t="s">
        <v>2073</v>
      </c>
      <c r="H1369" s="141">
        <v>869.60071300000004</v>
      </c>
      <c r="I1369" s="280"/>
      <c r="J1369" s="72">
        <v>148.52000000000001</v>
      </c>
      <c r="K1369" s="271">
        <f t="shared" si="66"/>
        <v>129153.09789476001</v>
      </c>
      <c r="L1369" s="111"/>
      <c r="M1369" s="73"/>
      <c r="N1369" s="112"/>
      <c r="O1369" s="111"/>
      <c r="P1369" s="312">
        <v>0</v>
      </c>
      <c r="Q1369" s="288">
        <f t="shared" si="67"/>
        <v>0</v>
      </c>
      <c r="R1369" s="118">
        <v>0</v>
      </c>
      <c r="S1369" s="283">
        <v>2016</v>
      </c>
      <c r="T1369" s="288">
        <f t="shared" si="65"/>
        <v>139949</v>
      </c>
    </row>
    <row r="1370" spans="2:20">
      <c r="B1370" s="386" t="s">
        <v>1475</v>
      </c>
      <c r="C1370" s="114"/>
      <c r="D1370" s="111" t="s">
        <v>1547</v>
      </c>
      <c r="E1370" s="111" t="s">
        <v>2034</v>
      </c>
      <c r="F1370" s="111"/>
      <c r="G1370" s="110" t="s">
        <v>2073</v>
      </c>
      <c r="H1370" s="141">
        <v>526.72551899999996</v>
      </c>
      <c r="I1370" s="280"/>
      <c r="J1370" s="72">
        <v>148.52000000000001</v>
      </c>
      <c r="K1370" s="271">
        <f t="shared" si="66"/>
        <v>78229.274081879994</v>
      </c>
      <c r="L1370" s="111"/>
      <c r="M1370" s="73"/>
      <c r="N1370" s="112"/>
      <c r="O1370" s="111"/>
      <c r="P1370" s="312">
        <v>148.98164</v>
      </c>
      <c r="Q1370" s="288">
        <f t="shared" si="67"/>
        <v>4.5546341213588466</v>
      </c>
      <c r="R1370" s="118">
        <v>678.55686100000003</v>
      </c>
      <c r="S1370" s="283">
        <v>2016</v>
      </c>
      <c r="T1370" s="288">
        <f t="shared" si="65"/>
        <v>85505</v>
      </c>
    </row>
    <row r="1371" spans="2:20">
      <c r="B1371" s="386" t="s">
        <v>1476</v>
      </c>
      <c r="C1371" s="114"/>
      <c r="D1371" s="111" t="s">
        <v>1547</v>
      </c>
      <c r="E1371" s="111" t="s">
        <v>2034</v>
      </c>
      <c r="F1371" s="111"/>
      <c r="G1371" s="110" t="s">
        <v>2073</v>
      </c>
      <c r="H1371" s="141">
        <v>45.416736</v>
      </c>
      <c r="I1371" s="280"/>
      <c r="J1371" s="72">
        <v>148.52000000000001</v>
      </c>
      <c r="K1371" s="271">
        <f t="shared" si="66"/>
        <v>6745.2936307200007</v>
      </c>
      <c r="L1371" s="111"/>
      <c r="M1371" s="73"/>
      <c r="N1371" s="112"/>
      <c r="O1371" s="111"/>
      <c r="P1371" s="312">
        <v>0</v>
      </c>
      <c r="Q1371" s="288">
        <f t="shared" si="67"/>
        <v>0</v>
      </c>
      <c r="R1371" s="118">
        <v>0</v>
      </c>
      <c r="S1371" s="283">
        <v>2016</v>
      </c>
      <c r="T1371" s="288">
        <f t="shared" si="65"/>
        <v>7309</v>
      </c>
    </row>
    <row r="1372" spans="2:20">
      <c r="B1372" s="386" t="s">
        <v>1477</v>
      </c>
      <c r="C1372" s="114"/>
      <c r="D1372" s="111" t="s">
        <v>1547</v>
      </c>
      <c r="E1372" s="111" t="s">
        <v>2034</v>
      </c>
      <c r="F1372" s="111"/>
      <c r="G1372" s="110" t="s">
        <v>2073</v>
      </c>
      <c r="H1372" s="141">
        <v>1758.281023</v>
      </c>
      <c r="I1372" s="280"/>
      <c r="J1372" s="72">
        <v>148.52000000000001</v>
      </c>
      <c r="K1372" s="271">
        <f t="shared" si="66"/>
        <v>261139.89753596002</v>
      </c>
      <c r="L1372" s="111"/>
      <c r="M1372" s="73"/>
      <c r="N1372" s="112"/>
      <c r="O1372" s="111"/>
      <c r="P1372" s="312">
        <v>0</v>
      </c>
      <c r="Q1372" s="288">
        <f t="shared" si="67"/>
        <v>0</v>
      </c>
      <c r="R1372" s="118">
        <v>0</v>
      </c>
      <c r="S1372" s="283">
        <v>2016</v>
      </c>
      <c r="T1372" s="288">
        <f t="shared" si="65"/>
        <v>282968</v>
      </c>
    </row>
    <row r="1373" spans="2:20">
      <c r="B1373" s="386" t="s">
        <v>1478</v>
      </c>
      <c r="C1373" s="114"/>
      <c r="D1373" s="111" t="s">
        <v>1547</v>
      </c>
      <c r="E1373" s="111" t="s">
        <v>2034</v>
      </c>
      <c r="F1373" s="111"/>
      <c r="G1373" s="110" t="s">
        <v>2073</v>
      </c>
      <c r="H1373" s="141">
        <v>1125.8935160000001</v>
      </c>
      <c r="I1373" s="280"/>
      <c r="J1373" s="72">
        <v>148.52000000000001</v>
      </c>
      <c r="K1373" s="271">
        <f t="shared" si="66"/>
        <v>167217.70499632001</v>
      </c>
      <c r="L1373" s="111"/>
      <c r="M1373" s="73"/>
      <c r="N1373" s="112"/>
      <c r="O1373" s="111"/>
      <c r="P1373" s="312">
        <v>0</v>
      </c>
      <c r="Q1373" s="288">
        <f t="shared" si="67"/>
        <v>0</v>
      </c>
      <c r="R1373" s="118">
        <v>0</v>
      </c>
      <c r="S1373" s="283">
        <v>2016</v>
      </c>
      <c r="T1373" s="288">
        <f t="shared" si="65"/>
        <v>181195</v>
      </c>
    </row>
    <row r="1374" spans="2:20">
      <c r="B1374" s="386" t="s">
        <v>1479</v>
      </c>
      <c r="C1374" s="114"/>
      <c r="D1374" s="111" t="s">
        <v>1547</v>
      </c>
      <c r="E1374" s="111" t="s">
        <v>2034</v>
      </c>
      <c r="F1374" s="111"/>
      <c r="G1374" s="110" t="s">
        <v>2073</v>
      </c>
      <c r="H1374" s="141">
        <v>134.93595400000001</v>
      </c>
      <c r="I1374" s="280"/>
      <c r="J1374" s="72">
        <v>148.52000000000001</v>
      </c>
      <c r="K1374" s="271">
        <f t="shared" si="66"/>
        <v>20040.687888080003</v>
      </c>
      <c r="L1374" s="111"/>
      <c r="M1374" s="73"/>
      <c r="N1374" s="112"/>
      <c r="O1374" s="111"/>
      <c r="P1374" s="312">
        <v>0</v>
      </c>
      <c r="Q1374" s="288">
        <f t="shared" si="67"/>
        <v>0</v>
      </c>
      <c r="R1374" s="118">
        <v>0</v>
      </c>
      <c r="S1374" s="283">
        <v>2016</v>
      </c>
      <c r="T1374" s="288">
        <f t="shared" si="65"/>
        <v>21716</v>
      </c>
    </row>
    <row r="1375" spans="2:20">
      <c r="B1375" s="386" t="s">
        <v>1480</v>
      </c>
      <c r="C1375" s="114"/>
      <c r="D1375" s="111" t="s">
        <v>1547</v>
      </c>
      <c r="E1375" s="111" t="s">
        <v>2034</v>
      </c>
      <c r="F1375" s="111"/>
      <c r="G1375" s="110" t="s">
        <v>2073</v>
      </c>
      <c r="H1375" s="141">
        <v>1243.7868390000001</v>
      </c>
      <c r="I1375" s="280"/>
      <c r="J1375" s="72">
        <v>148.52000000000001</v>
      </c>
      <c r="K1375" s="271">
        <f t="shared" si="66"/>
        <v>184727.22132828002</v>
      </c>
      <c r="L1375" s="111"/>
      <c r="M1375" s="73"/>
      <c r="N1375" s="112"/>
      <c r="O1375" s="111"/>
      <c r="P1375" s="312">
        <v>0</v>
      </c>
      <c r="Q1375" s="288">
        <f t="shared" si="67"/>
        <v>0</v>
      </c>
      <c r="R1375" s="118">
        <v>0</v>
      </c>
      <c r="S1375" s="283">
        <v>2016</v>
      </c>
      <c r="T1375" s="288">
        <f t="shared" si="65"/>
        <v>200169</v>
      </c>
    </row>
    <row r="1376" spans="2:20">
      <c r="B1376" s="386" t="s">
        <v>1481</v>
      </c>
      <c r="C1376" s="114"/>
      <c r="D1376" s="111" t="s">
        <v>1547</v>
      </c>
      <c r="E1376" s="111" t="s">
        <v>2034</v>
      </c>
      <c r="F1376" s="111"/>
      <c r="G1376" s="110" t="s">
        <v>2073</v>
      </c>
      <c r="H1376" s="141">
        <v>13.909250999999999</v>
      </c>
      <c r="I1376" s="280"/>
      <c r="J1376" s="72">
        <v>148.52000000000001</v>
      </c>
      <c r="K1376" s="271">
        <f t="shared" si="66"/>
        <v>2065.80195852</v>
      </c>
      <c r="L1376" s="111"/>
      <c r="M1376" s="73"/>
      <c r="N1376" s="112"/>
      <c r="O1376" s="111"/>
      <c r="P1376" s="312">
        <v>0</v>
      </c>
      <c r="Q1376" s="288">
        <f t="shared" si="67"/>
        <v>0</v>
      </c>
      <c r="R1376" s="118">
        <v>0</v>
      </c>
      <c r="S1376" s="283">
        <v>2016</v>
      </c>
      <c r="T1376" s="288">
        <f t="shared" si="65"/>
        <v>2238</v>
      </c>
    </row>
    <row r="1377" spans="2:20">
      <c r="B1377" s="386" t="s">
        <v>1482</v>
      </c>
      <c r="C1377" s="114"/>
      <c r="D1377" s="111" t="s">
        <v>1547</v>
      </c>
      <c r="E1377" s="111" t="s">
        <v>2034</v>
      </c>
      <c r="F1377" s="111"/>
      <c r="G1377" s="110" t="s">
        <v>2073</v>
      </c>
      <c r="H1377" s="141">
        <v>264.46333600000003</v>
      </c>
      <c r="I1377" s="280"/>
      <c r="J1377" s="72">
        <v>148.52000000000001</v>
      </c>
      <c r="K1377" s="271">
        <f t="shared" si="66"/>
        <v>39278.09466272001</v>
      </c>
      <c r="L1377" s="111"/>
      <c r="M1377" s="73"/>
      <c r="N1377" s="112"/>
      <c r="O1377" s="111"/>
      <c r="P1377" s="312">
        <v>0</v>
      </c>
      <c r="Q1377" s="288">
        <f t="shared" si="67"/>
        <v>0</v>
      </c>
      <c r="R1377" s="118">
        <v>0</v>
      </c>
      <c r="S1377" s="283">
        <v>2016</v>
      </c>
      <c r="T1377" s="288">
        <f t="shared" si="65"/>
        <v>42561</v>
      </c>
    </row>
    <row r="1378" spans="2:20">
      <c r="B1378" s="386" t="s">
        <v>1483</v>
      </c>
      <c r="C1378" s="114"/>
      <c r="D1378" s="111" t="s">
        <v>1547</v>
      </c>
      <c r="E1378" s="111" t="s">
        <v>2035</v>
      </c>
      <c r="F1378" s="111"/>
      <c r="G1378" s="110" t="s">
        <v>2073</v>
      </c>
      <c r="H1378" s="141">
        <v>411.49731600000001</v>
      </c>
      <c r="I1378" s="280"/>
      <c r="J1378" s="72">
        <v>148.52000000000001</v>
      </c>
      <c r="K1378" s="271">
        <f t="shared" si="66"/>
        <v>61115.581372320004</v>
      </c>
      <c r="L1378" s="111"/>
      <c r="M1378" s="73"/>
      <c r="N1378" s="112"/>
      <c r="O1378" s="111"/>
      <c r="P1378" s="312">
        <v>0</v>
      </c>
      <c r="Q1378" s="288">
        <f t="shared" si="67"/>
        <v>0</v>
      </c>
      <c r="R1378" s="118">
        <v>0</v>
      </c>
      <c r="S1378" s="283">
        <v>2016</v>
      </c>
      <c r="T1378" s="288">
        <f t="shared" si="65"/>
        <v>66224</v>
      </c>
    </row>
    <row r="1379" spans="2:20">
      <c r="B1379" s="386" t="s">
        <v>1484</v>
      </c>
      <c r="C1379" s="114"/>
      <c r="D1379" s="111" t="s">
        <v>1547</v>
      </c>
      <c r="E1379" s="111" t="s">
        <v>2036</v>
      </c>
      <c r="F1379" s="111"/>
      <c r="G1379" s="110" t="s">
        <v>2073</v>
      </c>
      <c r="H1379" s="141">
        <v>116.93666899999999</v>
      </c>
      <c r="I1379" s="280"/>
      <c r="J1379" s="72">
        <v>148.52000000000001</v>
      </c>
      <c r="K1379" s="271">
        <f t="shared" si="66"/>
        <v>17367.43407988</v>
      </c>
      <c r="L1379" s="111"/>
      <c r="M1379" s="73"/>
      <c r="N1379" s="112"/>
      <c r="O1379" s="111"/>
      <c r="P1379" s="312">
        <v>0</v>
      </c>
      <c r="Q1379" s="288">
        <f t="shared" si="67"/>
        <v>0</v>
      </c>
      <c r="R1379" s="118">
        <v>0</v>
      </c>
      <c r="S1379" s="283">
        <v>2016</v>
      </c>
      <c r="T1379" s="288">
        <f t="shared" si="65"/>
        <v>18819</v>
      </c>
    </row>
    <row r="1380" spans="2:20">
      <c r="B1380" s="386" t="s">
        <v>1485</v>
      </c>
      <c r="C1380" s="114"/>
      <c r="D1380" s="111" t="s">
        <v>1547</v>
      </c>
      <c r="E1380" s="111" t="s">
        <v>2037</v>
      </c>
      <c r="F1380" s="111"/>
      <c r="G1380" s="110" t="s">
        <v>2073</v>
      </c>
      <c r="H1380" s="141">
        <v>86.089892000000006</v>
      </c>
      <c r="I1380" s="280"/>
      <c r="J1380" s="72">
        <v>148.52000000000001</v>
      </c>
      <c r="K1380" s="271">
        <f t="shared" si="66"/>
        <v>12786.070759840002</v>
      </c>
      <c r="L1380" s="111"/>
      <c r="M1380" s="73"/>
      <c r="N1380" s="112"/>
      <c r="O1380" s="111"/>
      <c r="P1380" s="312">
        <v>0</v>
      </c>
      <c r="Q1380" s="288">
        <f t="shared" si="67"/>
        <v>0</v>
      </c>
      <c r="R1380" s="118">
        <v>0</v>
      </c>
      <c r="S1380" s="283">
        <v>2016</v>
      </c>
      <c r="T1380" s="288">
        <f t="shared" si="65"/>
        <v>13855</v>
      </c>
    </row>
    <row r="1381" spans="2:20">
      <c r="B1381" s="386" t="s">
        <v>1486</v>
      </c>
      <c r="C1381" s="114"/>
      <c r="D1381" s="111" t="s">
        <v>1547</v>
      </c>
      <c r="E1381" s="111" t="s">
        <v>2038</v>
      </c>
      <c r="F1381" s="111"/>
      <c r="G1381" s="110" t="s">
        <v>2073</v>
      </c>
      <c r="H1381" s="141">
        <v>998.461187</v>
      </c>
      <c r="I1381" s="280"/>
      <c r="J1381" s="72">
        <v>148.52000000000001</v>
      </c>
      <c r="K1381" s="271">
        <f t="shared" si="66"/>
        <v>148291.45549324001</v>
      </c>
      <c r="L1381" s="111"/>
      <c r="M1381" s="73"/>
      <c r="N1381" s="112"/>
      <c r="O1381" s="111"/>
      <c r="P1381" s="312">
        <v>0</v>
      </c>
      <c r="Q1381" s="288">
        <f t="shared" si="67"/>
        <v>0</v>
      </c>
      <c r="R1381" s="118">
        <v>0</v>
      </c>
      <c r="S1381" s="283">
        <v>2016</v>
      </c>
      <c r="T1381" s="288">
        <f t="shared" si="65"/>
        <v>160687</v>
      </c>
    </row>
    <row r="1382" spans="2:20">
      <c r="B1382" s="386" t="s">
        <v>1487</v>
      </c>
      <c r="C1382" s="114"/>
      <c r="D1382" s="111" t="s">
        <v>1547</v>
      </c>
      <c r="E1382" s="111" t="s">
        <v>2039</v>
      </c>
      <c r="F1382" s="111"/>
      <c r="G1382" s="110" t="s">
        <v>2073</v>
      </c>
      <c r="H1382" s="141">
        <v>1789.3130389999999</v>
      </c>
      <c r="I1382" s="280"/>
      <c r="J1382" s="72">
        <v>148.52000000000001</v>
      </c>
      <c r="K1382" s="271">
        <f t="shared" si="66"/>
        <v>265748.77255227999</v>
      </c>
      <c r="L1382" s="111"/>
      <c r="M1382" s="73"/>
      <c r="N1382" s="112"/>
      <c r="O1382" s="111"/>
      <c r="P1382" s="312">
        <v>0</v>
      </c>
      <c r="Q1382" s="288">
        <f t="shared" si="67"/>
        <v>0</v>
      </c>
      <c r="R1382" s="118">
        <v>0</v>
      </c>
      <c r="S1382" s="283">
        <v>2016</v>
      </c>
      <c r="T1382" s="288">
        <f t="shared" si="65"/>
        <v>287963</v>
      </c>
    </row>
    <row r="1383" spans="2:20">
      <c r="B1383" s="386" t="s">
        <v>1488</v>
      </c>
      <c r="C1383" s="114"/>
      <c r="D1383" s="111" t="s">
        <v>1547</v>
      </c>
      <c r="E1383" s="111" t="s">
        <v>2040</v>
      </c>
      <c r="F1383" s="111"/>
      <c r="G1383" s="110" t="s">
        <v>2073</v>
      </c>
      <c r="H1383" s="141">
        <v>243.63119</v>
      </c>
      <c r="I1383" s="280"/>
      <c r="J1383" s="72">
        <v>148.52000000000001</v>
      </c>
      <c r="K1383" s="271">
        <f t="shared" si="66"/>
        <v>36184.104338800003</v>
      </c>
      <c r="L1383" s="111"/>
      <c r="M1383" s="73"/>
      <c r="N1383" s="112"/>
      <c r="O1383" s="111"/>
      <c r="P1383" s="312">
        <v>0</v>
      </c>
      <c r="Q1383" s="288">
        <f t="shared" si="67"/>
        <v>0</v>
      </c>
      <c r="R1383" s="118">
        <v>0</v>
      </c>
      <c r="S1383" s="283">
        <v>2016</v>
      </c>
      <c r="T1383" s="288">
        <f t="shared" si="65"/>
        <v>39209</v>
      </c>
    </row>
    <row r="1384" spans="2:20">
      <c r="B1384" s="386" t="s">
        <v>1489</v>
      </c>
      <c r="C1384" s="114"/>
      <c r="D1384" s="111" t="s">
        <v>1547</v>
      </c>
      <c r="E1384" s="111" t="s">
        <v>2040</v>
      </c>
      <c r="F1384" s="111"/>
      <c r="G1384" s="110" t="s">
        <v>2073</v>
      </c>
      <c r="H1384" s="141">
        <v>224.103836</v>
      </c>
      <c r="I1384" s="280"/>
      <c r="J1384" s="72">
        <v>148.52000000000001</v>
      </c>
      <c r="K1384" s="271">
        <f t="shared" si="66"/>
        <v>33283.901722720002</v>
      </c>
      <c r="L1384" s="111"/>
      <c r="M1384" s="73"/>
      <c r="N1384" s="112"/>
      <c r="O1384" s="111"/>
      <c r="P1384" s="312">
        <v>0</v>
      </c>
      <c r="Q1384" s="288">
        <f t="shared" si="67"/>
        <v>0</v>
      </c>
      <c r="R1384" s="118">
        <v>0</v>
      </c>
      <c r="S1384" s="283">
        <v>2016</v>
      </c>
      <c r="T1384" s="288">
        <f t="shared" si="65"/>
        <v>36066</v>
      </c>
    </row>
    <row r="1385" spans="2:20">
      <c r="B1385" s="386" t="s">
        <v>1490</v>
      </c>
      <c r="C1385" s="114"/>
      <c r="D1385" s="111" t="s">
        <v>1547</v>
      </c>
      <c r="E1385" s="111" t="s">
        <v>2041</v>
      </c>
      <c r="F1385" s="111"/>
      <c r="G1385" s="110" t="s">
        <v>2073</v>
      </c>
      <c r="H1385" s="141">
        <v>642.14117999999996</v>
      </c>
      <c r="I1385" s="280"/>
      <c r="J1385" s="72">
        <v>148.52000000000001</v>
      </c>
      <c r="K1385" s="271">
        <f t="shared" si="66"/>
        <v>95370.808053600005</v>
      </c>
      <c r="L1385" s="111"/>
      <c r="M1385" s="73"/>
      <c r="N1385" s="112"/>
      <c r="O1385" s="111"/>
      <c r="P1385" s="312">
        <v>4.7870881799999996</v>
      </c>
      <c r="Q1385" s="288">
        <f t="shared" si="67"/>
        <v>3.0000000125337154</v>
      </c>
      <c r="R1385" s="118">
        <v>14.3612646</v>
      </c>
      <c r="S1385" s="283">
        <v>2016</v>
      </c>
      <c r="T1385" s="288">
        <f t="shared" si="65"/>
        <v>103358</v>
      </c>
    </row>
    <row r="1386" spans="2:20">
      <c r="B1386" s="386" t="s">
        <v>1491</v>
      </c>
      <c r="C1386" s="114"/>
      <c r="D1386" s="111" t="s">
        <v>1547</v>
      </c>
      <c r="E1386" s="111" t="s">
        <v>2041</v>
      </c>
      <c r="F1386" s="111"/>
      <c r="G1386" s="110" t="s">
        <v>2073</v>
      </c>
      <c r="H1386" s="141">
        <v>154.981663</v>
      </c>
      <c r="I1386" s="280"/>
      <c r="J1386" s="72">
        <v>148.52000000000001</v>
      </c>
      <c r="K1386" s="271">
        <f t="shared" si="66"/>
        <v>23017.876588760002</v>
      </c>
      <c r="L1386" s="111"/>
      <c r="M1386" s="73"/>
      <c r="N1386" s="112"/>
      <c r="O1386" s="111"/>
      <c r="P1386" s="312">
        <v>0</v>
      </c>
      <c r="Q1386" s="288">
        <f t="shared" si="67"/>
        <v>0</v>
      </c>
      <c r="R1386" s="118">
        <v>0</v>
      </c>
      <c r="S1386" s="283">
        <v>2016</v>
      </c>
      <c r="T1386" s="288">
        <f t="shared" si="65"/>
        <v>24942</v>
      </c>
    </row>
    <row r="1387" spans="2:20">
      <c r="B1387" s="386" t="s">
        <v>1492</v>
      </c>
      <c r="C1387" s="114"/>
      <c r="D1387" s="111" t="s">
        <v>1547</v>
      </c>
      <c r="E1387" s="111" t="s">
        <v>2041</v>
      </c>
      <c r="F1387" s="111"/>
      <c r="G1387" s="110" t="s">
        <v>2073</v>
      </c>
      <c r="H1387" s="141">
        <v>531.55702399999996</v>
      </c>
      <c r="I1387" s="280"/>
      <c r="J1387" s="72">
        <v>148.52000000000001</v>
      </c>
      <c r="K1387" s="271">
        <f t="shared" si="66"/>
        <v>78946.849204479993</v>
      </c>
      <c r="L1387" s="111"/>
      <c r="M1387" s="73"/>
      <c r="N1387" s="112"/>
      <c r="O1387" s="111"/>
      <c r="P1387" s="312">
        <v>0</v>
      </c>
      <c r="Q1387" s="288">
        <f t="shared" si="67"/>
        <v>0</v>
      </c>
      <c r="R1387" s="118">
        <v>0</v>
      </c>
      <c r="S1387" s="283">
        <v>2016</v>
      </c>
      <c r="T1387" s="288">
        <f t="shared" si="65"/>
        <v>85546</v>
      </c>
    </row>
    <row r="1388" spans="2:20">
      <c r="B1388" s="386" t="s">
        <v>1493</v>
      </c>
      <c r="C1388" s="114"/>
      <c r="D1388" s="111" t="s">
        <v>1547</v>
      </c>
      <c r="E1388" s="111" t="s">
        <v>2042</v>
      </c>
      <c r="F1388" s="111"/>
      <c r="G1388" s="110" t="s">
        <v>2073</v>
      </c>
      <c r="H1388" s="141">
        <v>515.044984</v>
      </c>
      <c r="I1388" s="280"/>
      <c r="J1388" s="72">
        <v>148.52000000000001</v>
      </c>
      <c r="K1388" s="271">
        <f t="shared" si="66"/>
        <v>76494.481023680011</v>
      </c>
      <c r="L1388" s="111"/>
      <c r="M1388" s="73"/>
      <c r="N1388" s="112"/>
      <c r="O1388" s="111"/>
      <c r="P1388" s="312">
        <v>0</v>
      </c>
      <c r="Q1388" s="288">
        <f t="shared" si="67"/>
        <v>0</v>
      </c>
      <c r="R1388" s="118">
        <v>0</v>
      </c>
      <c r="S1388" s="283">
        <v>2016</v>
      </c>
      <c r="T1388" s="288">
        <f t="shared" si="65"/>
        <v>82889</v>
      </c>
    </row>
    <row r="1389" spans="2:20">
      <c r="B1389" s="386" t="s">
        <v>1494</v>
      </c>
      <c r="C1389" s="114"/>
      <c r="D1389" s="111" t="s">
        <v>1547</v>
      </c>
      <c r="E1389" s="111" t="s">
        <v>1951</v>
      </c>
      <c r="F1389" s="111"/>
      <c r="G1389" s="110" t="s">
        <v>2074</v>
      </c>
      <c r="H1389" s="141">
        <v>480.14185099999997</v>
      </c>
      <c r="I1389" s="280"/>
      <c r="J1389" s="72">
        <v>148.52000000000001</v>
      </c>
      <c r="K1389" s="271">
        <f t="shared" si="66"/>
        <v>71310.667710520007</v>
      </c>
      <c r="L1389" s="111"/>
      <c r="M1389" s="73"/>
      <c r="N1389" s="112"/>
      <c r="O1389" s="111"/>
      <c r="P1389" s="312">
        <v>0</v>
      </c>
      <c r="Q1389" s="288">
        <f t="shared" si="67"/>
        <v>0</v>
      </c>
      <c r="R1389" s="118">
        <v>0</v>
      </c>
      <c r="S1389" s="283">
        <v>2016</v>
      </c>
      <c r="T1389" s="288">
        <f t="shared" si="65"/>
        <v>77272</v>
      </c>
    </row>
    <row r="1390" spans="2:20">
      <c r="B1390" s="386" t="s">
        <v>1495</v>
      </c>
      <c r="C1390" s="114"/>
      <c r="D1390" s="111" t="s">
        <v>1547</v>
      </c>
      <c r="E1390" s="111" t="s">
        <v>1951</v>
      </c>
      <c r="F1390" s="111"/>
      <c r="G1390" s="110" t="s">
        <v>2073</v>
      </c>
      <c r="H1390" s="141">
        <v>315.408615</v>
      </c>
      <c r="I1390" s="280"/>
      <c r="J1390" s="72">
        <v>148.52000000000001</v>
      </c>
      <c r="K1390" s="271">
        <f t="shared" si="66"/>
        <v>46844.487499800001</v>
      </c>
      <c r="L1390" s="111"/>
      <c r="M1390" s="73"/>
      <c r="N1390" s="112"/>
      <c r="O1390" s="111"/>
      <c r="P1390" s="312">
        <v>0</v>
      </c>
      <c r="Q1390" s="288">
        <f t="shared" si="67"/>
        <v>0</v>
      </c>
      <c r="R1390" s="118">
        <v>0</v>
      </c>
      <c r="S1390" s="283">
        <v>2016</v>
      </c>
      <c r="T1390" s="288">
        <f t="shared" si="65"/>
        <v>50760</v>
      </c>
    </row>
    <row r="1391" spans="2:20">
      <c r="B1391" s="386" t="s">
        <v>1496</v>
      </c>
      <c r="C1391" s="114"/>
      <c r="D1391" s="111" t="s">
        <v>1547</v>
      </c>
      <c r="E1391" s="111" t="s">
        <v>2043</v>
      </c>
      <c r="F1391" s="111"/>
      <c r="G1391" s="110" t="s">
        <v>2073</v>
      </c>
      <c r="H1391" s="141">
        <v>263.21899999999999</v>
      </c>
      <c r="I1391" s="280"/>
      <c r="J1391" s="72">
        <v>148.52000000000001</v>
      </c>
      <c r="K1391" s="271">
        <f t="shared" si="66"/>
        <v>39093.285880000003</v>
      </c>
      <c r="L1391" s="111"/>
      <c r="M1391" s="73"/>
      <c r="N1391" s="112"/>
      <c r="O1391" s="111"/>
      <c r="P1391" s="312">
        <v>0</v>
      </c>
      <c r="Q1391" s="288">
        <f t="shared" si="67"/>
        <v>0</v>
      </c>
      <c r="R1391" s="118">
        <v>0</v>
      </c>
      <c r="S1391" s="283">
        <v>2016</v>
      </c>
      <c r="T1391" s="288">
        <f t="shared" si="65"/>
        <v>42361</v>
      </c>
    </row>
    <row r="1392" spans="2:20">
      <c r="B1392" s="386" t="s">
        <v>1497</v>
      </c>
      <c r="C1392" s="114"/>
      <c r="D1392" s="111" t="s">
        <v>1547</v>
      </c>
      <c r="E1392" s="111" t="s">
        <v>2044</v>
      </c>
      <c r="F1392" s="111"/>
      <c r="G1392" s="110" t="s">
        <v>2073</v>
      </c>
      <c r="H1392" s="141">
        <v>1288.613196</v>
      </c>
      <c r="I1392" s="280"/>
      <c r="J1392" s="72">
        <v>148.52000000000001</v>
      </c>
      <c r="K1392" s="271">
        <f t="shared" si="66"/>
        <v>191384.83186992002</v>
      </c>
      <c r="L1392" s="111"/>
      <c r="M1392" s="73"/>
      <c r="N1392" s="112"/>
      <c r="O1392" s="111"/>
      <c r="P1392" s="312">
        <v>0</v>
      </c>
      <c r="Q1392" s="288">
        <f t="shared" si="67"/>
        <v>0</v>
      </c>
      <c r="R1392" s="118">
        <v>0</v>
      </c>
      <c r="S1392" s="283">
        <v>2016</v>
      </c>
      <c r="T1392" s="288">
        <f t="shared" si="65"/>
        <v>207383</v>
      </c>
    </row>
    <row r="1393" spans="2:20">
      <c r="B1393" s="386" t="s">
        <v>1498</v>
      </c>
      <c r="C1393" s="114"/>
      <c r="D1393" s="111" t="s">
        <v>1547</v>
      </c>
      <c r="E1393" s="111" t="s">
        <v>2045</v>
      </c>
      <c r="F1393" s="111"/>
      <c r="G1393" s="110" t="s">
        <v>2073</v>
      </c>
      <c r="H1393" s="141">
        <v>34.324919000000001</v>
      </c>
      <c r="I1393" s="280"/>
      <c r="J1393" s="72">
        <v>148.52000000000001</v>
      </c>
      <c r="K1393" s="271">
        <f t="shared" si="66"/>
        <v>5097.9369698800001</v>
      </c>
      <c r="L1393" s="111"/>
      <c r="M1393" s="73"/>
      <c r="N1393" s="112"/>
      <c r="O1393" s="111"/>
      <c r="P1393" s="312">
        <v>0</v>
      </c>
      <c r="Q1393" s="288">
        <f t="shared" si="67"/>
        <v>0</v>
      </c>
      <c r="R1393" s="118">
        <v>0</v>
      </c>
      <c r="S1393" s="283">
        <v>2016</v>
      </c>
      <c r="T1393" s="288">
        <f t="shared" si="65"/>
        <v>5524</v>
      </c>
    </row>
    <row r="1394" spans="2:20">
      <c r="B1394" s="386" t="s">
        <v>1499</v>
      </c>
      <c r="C1394" s="114"/>
      <c r="D1394" s="111" t="s">
        <v>1546</v>
      </c>
      <c r="E1394" s="111" t="s">
        <v>2046</v>
      </c>
      <c r="F1394" s="111"/>
      <c r="G1394" s="110" t="s">
        <v>2073</v>
      </c>
      <c r="H1394" s="141">
        <v>256.45932299999998</v>
      </c>
      <c r="I1394" s="280"/>
      <c r="J1394" s="72">
        <v>148.52000000000001</v>
      </c>
      <c r="K1394" s="271">
        <f t="shared" si="66"/>
        <v>38089.338651960003</v>
      </c>
      <c r="L1394" s="111"/>
      <c r="M1394" s="73"/>
      <c r="N1394" s="112"/>
      <c r="O1394" s="111"/>
      <c r="P1394" s="312">
        <v>0</v>
      </c>
      <c r="Q1394" s="288">
        <f t="shared" si="67"/>
        <v>0</v>
      </c>
      <c r="R1394" s="118">
        <v>0</v>
      </c>
      <c r="S1394" s="283">
        <v>2016</v>
      </c>
      <c r="T1394" s="288">
        <f t="shared" si="65"/>
        <v>41273</v>
      </c>
    </row>
    <row r="1395" spans="2:20">
      <c r="B1395" s="386" t="s">
        <v>1500</v>
      </c>
      <c r="C1395" s="114"/>
      <c r="D1395" s="111" t="s">
        <v>1547</v>
      </c>
      <c r="E1395" s="111" t="s">
        <v>2046</v>
      </c>
      <c r="F1395" s="111"/>
      <c r="G1395" s="110" t="s">
        <v>2073</v>
      </c>
      <c r="H1395" s="141">
        <v>158.68359599999999</v>
      </c>
      <c r="I1395" s="280"/>
      <c r="J1395" s="72">
        <v>148.52000000000001</v>
      </c>
      <c r="K1395" s="271">
        <f t="shared" si="66"/>
        <v>23567.687677919999</v>
      </c>
      <c r="L1395" s="111"/>
      <c r="M1395" s="73"/>
      <c r="N1395" s="112"/>
      <c r="O1395" s="111"/>
      <c r="P1395" s="312">
        <v>0</v>
      </c>
      <c r="Q1395" s="288">
        <f t="shared" si="67"/>
        <v>0</v>
      </c>
      <c r="R1395" s="118">
        <v>0</v>
      </c>
      <c r="S1395" s="283">
        <v>2016</v>
      </c>
      <c r="T1395" s="288">
        <f t="shared" si="65"/>
        <v>25538</v>
      </c>
    </row>
    <row r="1396" spans="2:20">
      <c r="B1396" s="386" t="s">
        <v>1501</v>
      </c>
      <c r="C1396" s="114"/>
      <c r="D1396" s="111" t="s">
        <v>1547</v>
      </c>
      <c r="E1396" s="111" t="s">
        <v>2046</v>
      </c>
      <c r="F1396" s="111"/>
      <c r="G1396" s="110" t="s">
        <v>2073</v>
      </c>
      <c r="H1396" s="141">
        <v>188.31240299999999</v>
      </c>
      <c r="I1396" s="280"/>
      <c r="J1396" s="72">
        <v>148.52000000000001</v>
      </c>
      <c r="K1396" s="271">
        <f t="shared" si="66"/>
        <v>27968.15809356</v>
      </c>
      <c r="L1396" s="111"/>
      <c r="M1396" s="73"/>
      <c r="N1396" s="112"/>
      <c r="O1396" s="111"/>
      <c r="P1396" s="312">
        <v>0</v>
      </c>
      <c r="Q1396" s="288">
        <f t="shared" si="67"/>
        <v>0</v>
      </c>
      <c r="R1396" s="118">
        <v>0</v>
      </c>
      <c r="S1396" s="283">
        <v>2016</v>
      </c>
      <c r="T1396" s="288">
        <f t="shared" si="65"/>
        <v>30306</v>
      </c>
    </row>
    <row r="1397" spans="2:20">
      <c r="B1397" s="386" t="s">
        <v>1502</v>
      </c>
      <c r="C1397" s="114"/>
      <c r="D1397" s="111" t="s">
        <v>1547</v>
      </c>
      <c r="E1397" s="111" t="s">
        <v>2046</v>
      </c>
      <c r="F1397" s="111"/>
      <c r="G1397" s="110" t="s">
        <v>2073</v>
      </c>
      <c r="H1397" s="141">
        <v>138.38765599999999</v>
      </c>
      <c r="I1397" s="280"/>
      <c r="J1397" s="72">
        <v>148.52000000000001</v>
      </c>
      <c r="K1397" s="271">
        <f t="shared" si="66"/>
        <v>20553.334669119999</v>
      </c>
      <c r="L1397" s="111"/>
      <c r="M1397" s="73"/>
      <c r="N1397" s="112"/>
      <c r="O1397" s="111"/>
      <c r="P1397" s="312">
        <v>0</v>
      </c>
      <c r="Q1397" s="288">
        <f t="shared" si="67"/>
        <v>0</v>
      </c>
      <c r="R1397" s="118">
        <v>0</v>
      </c>
      <c r="S1397" s="283">
        <v>2016</v>
      </c>
      <c r="T1397" s="288">
        <f t="shared" si="65"/>
        <v>22271</v>
      </c>
    </row>
    <row r="1398" spans="2:20">
      <c r="B1398" s="386" t="s">
        <v>1503</v>
      </c>
      <c r="C1398" s="114"/>
      <c r="D1398" s="111" t="s">
        <v>1547</v>
      </c>
      <c r="E1398" s="111" t="s">
        <v>2047</v>
      </c>
      <c r="F1398" s="111"/>
      <c r="G1398" s="110" t="s">
        <v>2073</v>
      </c>
      <c r="H1398" s="141">
        <v>566.44741299999998</v>
      </c>
      <c r="I1398" s="280"/>
      <c r="J1398" s="72">
        <v>148.52000000000001</v>
      </c>
      <c r="K1398" s="271">
        <f t="shared" si="66"/>
        <v>84128.769778760005</v>
      </c>
      <c r="L1398" s="111"/>
      <c r="M1398" s="73"/>
      <c r="N1398" s="112"/>
      <c r="O1398" s="111"/>
      <c r="P1398" s="312">
        <v>0</v>
      </c>
      <c r="Q1398" s="288">
        <f t="shared" si="67"/>
        <v>0</v>
      </c>
      <c r="R1398" s="118">
        <v>0</v>
      </c>
      <c r="S1398" s="283">
        <v>2016</v>
      </c>
      <c r="T1398" s="288">
        <f t="shared" si="65"/>
        <v>91161</v>
      </c>
    </row>
    <row r="1399" spans="2:20">
      <c r="B1399" s="386" t="s">
        <v>1504</v>
      </c>
      <c r="C1399" s="114"/>
      <c r="D1399" s="111" t="s">
        <v>1547</v>
      </c>
      <c r="E1399" s="111" t="s">
        <v>2040</v>
      </c>
      <c r="F1399" s="111"/>
      <c r="G1399" s="110" t="s">
        <v>2073</v>
      </c>
      <c r="H1399" s="141">
        <v>84.351828999999995</v>
      </c>
      <c r="I1399" s="280"/>
      <c r="J1399" s="72">
        <v>148.52000000000001</v>
      </c>
      <c r="K1399" s="271">
        <f t="shared" si="66"/>
        <v>12527.933643079999</v>
      </c>
      <c r="L1399" s="111"/>
      <c r="M1399" s="73"/>
      <c r="N1399" s="112"/>
      <c r="O1399" s="111"/>
      <c r="P1399" s="312">
        <v>0</v>
      </c>
      <c r="Q1399" s="288">
        <f t="shared" si="67"/>
        <v>0</v>
      </c>
      <c r="R1399" s="118">
        <v>0</v>
      </c>
      <c r="S1399" s="283">
        <v>2016</v>
      </c>
      <c r="T1399" s="288">
        <f t="shared" si="65"/>
        <v>13575</v>
      </c>
    </row>
    <row r="1400" spans="2:20">
      <c r="B1400" s="386" t="s">
        <v>1505</v>
      </c>
      <c r="C1400" s="114"/>
      <c r="D1400" s="111" t="s">
        <v>1546</v>
      </c>
      <c r="E1400" s="111" t="s">
        <v>2048</v>
      </c>
      <c r="F1400" s="111"/>
      <c r="G1400" s="110" t="s">
        <v>2073</v>
      </c>
      <c r="H1400" s="141">
        <v>1841.418298</v>
      </c>
      <c r="I1400" s="280"/>
      <c r="J1400" s="72">
        <v>148.52000000000001</v>
      </c>
      <c r="K1400" s="271">
        <f t="shared" si="66"/>
        <v>273487.44561896002</v>
      </c>
      <c r="L1400" s="111"/>
      <c r="M1400" s="73"/>
      <c r="N1400" s="112"/>
      <c r="O1400" s="111"/>
      <c r="P1400" s="312">
        <v>0</v>
      </c>
      <c r="Q1400" s="288">
        <f t="shared" si="67"/>
        <v>0</v>
      </c>
      <c r="R1400" s="118">
        <v>0</v>
      </c>
      <c r="S1400" s="283">
        <v>2016</v>
      </c>
      <c r="T1400" s="288">
        <f t="shared" si="65"/>
        <v>296348</v>
      </c>
    </row>
    <row r="1401" spans="2:20">
      <c r="B1401" s="386" t="s">
        <v>1506</v>
      </c>
      <c r="C1401" s="114"/>
      <c r="D1401" s="111" t="s">
        <v>1547</v>
      </c>
      <c r="E1401" s="111" t="s">
        <v>2049</v>
      </c>
      <c r="F1401" s="111"/>
      <c r="G1401" s="110" t="s">
        <v>2073</v>
      </c>
      <c r="H1401" s="141">
        <v>360.39288099999999</v>
      </c>
      <c r="I1401" s="280"/>
      <c r="J1401" s="72">
        <v>148.52000000000001</v>
      </c>
      <c r="K1401" s="271">
        <f t="shared" si="66"/>
        <v>53525.550686120005</v>
      </c>
      <c r="L1401" s="111"/>
      <c r="M1401" s="73"/>
      <c r="N1401" s="112"/>
      <c r="O1401" s="111"/>
      <c r="P1401" s="312">
        <v>185.175737</v>
      </c>
      <c r="Q1401" s="288">
        <f t="shared" si="67"/>
        <v>666.00000085324348</v>
      </c>
      <c r="R1401" s="118">
        <v>123327.041</v>
      </c>
      <c r="S1401" s="283">
        <v>2016</v>
      </c>
      <c r="T1401" s="288">
        <f t="shared" si="65"/>
        <v>191853</v>
      </c>
    </row>
    <row r="1402" spans="2:20">
      <c r="B1402" s="386" t="s">
        <v>1507</v>
      </c>
      <c r="C1402" s="114"/>
      <c r="D1402" s="111" t="s">
        <v>1547</v>
      </c>
      <c r="E1402" s="111" t="s">
        <v>2050</v>
      </c>
      <c r="F1402" s="111"/>
      <c r="G1402" s="110" t="s">
        <v>2073</v>
      </c>
      <c r="H1402" s="141">
        <v>696.51722299999994</v>
      </c>
      <c r="I1402" s="280"/>
      <c r="J1402" s="72">
        <v>148.52000000000001</v>
      </c>
      <c r="K1402" s="271">
        <f t="shared" si="66"/>
        <v>103446.73795996</v>
      </c>
      <c r="L1402" s="111"/>
      <c r="M1402" s="73"/>
      <c r="N1402" s="112"/>
      <c r="O1402" s="111"/>
      <c r="P1402" s="312">
        <v>0</v>
      </c>
      <c r="Q1402" s="288">
        <f t="shared" si="67"/>
        <v>0</v>
      </c>
      <c r="R1402" s="118">
        <v>0</v>
      </c>
      <c r="S1402" s="283">
        <v>2016</v>
      </c>
      <c r="T1402" s="288">
        <f t="shared" si="65"/>
        <v>112094</v>
      </c>
    </row>
    <row r="1403" spans="2:20">
      <c r="B1403" s="386" t="s">
        <v>1508</v>
      </c>
      <c r="C1403" s="114"/>
      <c r="D1403" s="111" t="s">
        <v>1547</v>
      </c>
      <c r="E1403" s="111" t="s">
        <v>2050</v>
      </c>
      <c r="F1403" s="111"/>
      <c r="G1403" s="110" t="s">
        <v>2073</v>
      </c>
      <c r="H1403" s="141">
        <v>1106.2157970000001</v>
      </c>
      <c r="I1403" s="280"/>
      <c r="J1403" s="72">
        <v>148.52000000000001</v>
      </c>
      <c r="K1403" s="271">
        <f t="shared" si="66"/>
        <v>164295.17017044002</v>
      </c>
      <c r="L1403" s="111"/>
      <c r="M1403" s="73"/>
      <c r="N1403" s="112"/>
      <c r="O1403" s="111"/>
      <c r="P1403" s="312">
        <v>0</v>
      </c>
      <c r="Q1403" s="288">
        <f t="shared" si="67"/>
        <v>0</v>
      </c>
      <c r="R1403" s="118">
        <v>0</v>
      </c>
      <c r="S1403" s="283">
        <v>2016</v>
      </c>
      <c r="T1403" s="288">
        <f t="shared" si="65"/>
        <v>178029</v>
      </c>
    </row>
    <row r="1404" spans="2:20">
      <c r="B1404" s="386" t="s">
        <v>1509</v>
      </c>
      <c r="C1404" s="114"/>
      <c r="D1404" s="111" t="s">
        <v>1546</v>
      </c>
      <c r="E1404" s="111" t="s">
        <v>2051</v>
      </c>
      <c r="F1404" s="111"/>
      <c r="G1404" s="110" t="s">
        <v>2073</v>
      </c>
      <c r="H1404" s="141">
        <v>124.889043</v>
      </c>
      <c r="I1404" s="280"/>
      <c r="J1404" s="72">
        <v>148.52000000000001</v>
      </c>
      <c r="K1404" s="271">
        <f t="shared" si="66"/>
        <v>18548.52066636</v>
      </c>
      <c r="L1404" s="111"/>
      <c r="M1404" s="73"/>
      <c r="N1404" s="112"/>
      <c r="O1404" s="111"/>
      <c r="P1404" s="312">
        <v>0</v>
      </c>
      <c r="Q1404" s="288">
        <f t="shared" si="67"/>
        <v>0</v>
      </c>
      <c r="R1404" s="118">
        <v>0</v>
      </c>
      <c r="S1404" s="283">
        <v>2016</v>
      </c>
      <c r="T1404" s="288">
        <f t="shared" si="65"/>
        <v>20099</v>
      </c>
    </row>
    <row r="1405" spans="2:20">
      <c r="B1405" s="386" t="s">
        <v>1510</v>
      </c>
      <c r="C1405" s="114"/>
      <c r="D1405" s="111" t="s">
        <v>1546</v>
      </c>
      <c r="E1405" s="111" t="s">
        <v>2051</v>
      </c>
      <c r="F1405" s="111"/>
      <c r="G1405" s="110" t="s">
        <v>2073</v>
      </c>
      <c r="H1405" s="141">
        <v>86.251209000000003</v>
      </c>
      <c r="I1405" s="280"/>
      <c r="J1405" s="72">
        <v>148.52000000000001</v>
      </c>
      <c r="K1405" s="271">
        <f t="shared" si="66"/>
        <v>12810.029560680001</v>
      </c>
      <c r="L1405" s="111"/>
      <c r="M1405" s="73"/>
      <c r="N1405" s="112"/>
      <c r="O1405" s="111"/>
      <c r="P1405" s="312">
        <v>0</v>
      </c>
      <c r="Q1405" s="288">
        <f t="shared" si="67"/>
        <v>0</v>
      </c>
      <c r="R1405" s="118">
        <v>0</v>
      </c>
      <c r="S1405" s="283">
        <v>2016</v>
      </c>
      <c r="T1405" s="288">
        <f t="shared" si="65"/>
        <v>13881</v>
      </c>
    </row>
    <row r="1406" spans="2:20">
      <c r="B1406" s="386" t="s">
        <v>1511</v>
      </c>
      <c r="C1406" s="114"/>
      <c r="D1406" s="111" t="s">
        <v>1547</v>
      </c>
      <c r="E1406" s="111" t="s">
        <v>2052</v>
      </c>
      <c r="F1406" s="111"/>
      <c r="G1406" s="110" t="s">
        <v>2073</v>
      </c>
      <c r="H1406" s="141">
        <v>968.35051699999997</v>
      </c>
      <c r="I1406" s="280"/>
      <c r="J1406" s="72">
        <v>148.52000000000001</v>
      </c>
      <c r="K1406" s="271">
        <f t="shared" si="66"/>
        <v>143819.41878484</v>
      </c>
      <c r="L1406" s="111"/>
      <c r="M1406" s="73"/>
      <c r="N1406" s="112"/>
      <c r="O1406" s="111"/>
      <c r="P1406" s="312">
        <v>0</v>
      </c>
      <c r="Q1406" s="288">
        <f t="shared" si="67"/>
        <v>0</v>
      </c>
      <c r="R1406" s="118">
        <v>0</v>
      </c>
      <c r="S1406" s="283">
        <v>2016</v>
      </c>
      <c r="T1406" s="288">
        <f t="shared" si="65"/>
        <v>155841</v>
      </c>
    </row>
    <row r="1407" spans="2:20">
      <c r="B1407" s="386" t="s">
        <v>1512</v>
      </c>
      <c r="C1407" s="114"/>
      <c r="D1407" s="111" t="s">
        <v>1547</v>
      </c>
      <c r="E1407" s="111" t="s">
        <v>2053</v>
      </c>
      <c r="F1407" s="111"/>
      <c r="G1407" s="110" t="s">
        <v>2073</v>
      </c>
      <c r="H1407" s="141">
        <v>586.101856</v>
      </c>
      <c r="I1407" s="280"/>
      <c r="J1407" s="72">
        <v>148.52000000000001</v>
      </c>
      <c r="K1407" s="271">
        <f t="shared" si="66"/>
        <v>87047.847653119999</v>
      </c>
      <c r="L1407" s="111"/>
      <c r="M1407" s="73"/>
      <c r="N1407" s="112"/>
      <c r="O1407" s="111"/>
      <c r="P1407" s="312">
        <v>0</v>
      </c>
      <c r="Q1407" s="288">
        <f t="shared" si="67"/>
        <v>0</v>
      </c>
      <c r="R1407" s="118">
        <v>0</v>
      </c>
      <c r="S1407" s="283">
        <v>2016</v>
      </c>
      <c r="T1407" s="288">
        <f t="shared" si="65"/>
        <v>94324</v>
      </c>
    </row>
    <row r="1408" spans="2:20">
      <c r="B1408" s="386" t="s">
        <v>1513</v>
      </c>
      <c r="C1408" s="114"/>
      <c r="D1408" s="111" t="s">
        <v>1547</v>
      </c>
      <c r="E1408" s="111" t="s">
        <v>2053</v>
      </c>
      <c r="F1408" s="111"/>
      <c r="G1408" s="110" t="s">
        <v>2073</v>
      </c>
      <c r="H1408" s="141">
        <v>174.28377699999999</v>
      </c>
      <c r="I1408" s="280"/>
      <c r="J1408" s="72">
        <v>148.52000000000001</v>
      </c>
      <c r="K1408" s="271">
        <f t="shared" si="66"/>
        <v>25884.62656004</v>
      </c>
      <c r="L1408" s="111"/>
      <c r="M1408" s="73"/>
      <c r="N1408" s="112"/>
      <c r="O1408" s="111"/>
      <c r="P1408" s="312">
        <v>0</v>
      </c>
      <c r="Q1408" s="288">
        <f t="shared" si="67"/>
        <v>0</v>
      </c>
      <c r="R1408" s="118">
        <v>0</v>
      </c>
      <c r="S1408" s="283">
        <v>2016</v>
      </c>
      <c r="T1408" s="288">
        <f t="shared" si="65"/>
        <v>28048</v>
      </c>
    </row>
    <row r="1409" spans="2:20">
      <c r="B1409" s="386" t="s">
        <v>1514</v>
      </c>
      <c r="C1409" s="114"/>
      <c r="D1409" s="111" t="s">
        <v>1546</v>
      </c>
      <c r="E1409" s="111" t="s">
        <v>2054</v>
      </c>
      <c r="F1409" s="111"/>
      <c r="G1409" s="110" t="s">
        <v>2073</v>
      </c>
      <c r="H1409" s="141">
        <v>282.78499199999999</v>
      </c>
      <c r="I1409" s="280"/>
      <c r="J1409" s="72">
        <v>148.52000000000001</v>
      </c>
      <c r="K1409" s="271">
        <f t="shared" si="66"/>
        <v>41999.227011840005</v>
      </c>
      <c r="L1409" s="111"/>
      <c r="M1409" s="73"/>
      <c r="N1409" s="112"/>
      <c r="O1409" s="111"/>
      <c r="P1409" s="312">
        <v>0</v>
      </c>
      <c r="Q1409" s="288">
        <f t="shared" si="67"/>
        <v>0</v>
      </c>
      <c r="R1409" s="118">
        <v>0</v>
      </c>
      <c r="S1409" s="283">
        <v>2016</v>
      </c>
      <c r="T1409" s="288">
        <f t="shared" si="65"/>
        <v>45510</v>
      </c>
    </row>
    <row r="1410" spans="2:20">
      <c r="B1410" s="386" t="s">
        <v>1515</v>
      </c>
      <c r="C1410" s="114"/>
      <c r="D1410" s="111" t="s">
        <v>1546</v>
      </c>
      <c r="E1410" s="111" t="s">
        <v>2054</v>
      </c>
      <c r="F1410" s="111"/>
      <c r="G1410" s="110" t="s">
        <v>2073</v>
      </c>
      <c r="H1410" s="141">
        <v>23.414619999999999</v>
      </c>
      <c r="I1410" s="280"/>
      <c r="J1410" s="72">
        <v>148.52000000000001</v>
      </c>
      <c r="K1410" s="271">
        <f t="shared" si="66"/>
        <v>3477.5393624000003</v>
      </c>
      <c r="L1410" s="111"/>
      <c r="M1410" s="73"/>
      <c r="N1410" s="112"/>
      <c r="O1410" s="111"/>
      <c r="P1410" s="312">
        <v>0</v>
      </c>
      <c r="Q1410" s="288">
        <f t="shared" si="67"/>
        <v>0</v>
      </c>
      <c r="R1410" s="118">
        <v>0</v>
      </c>
      <c r="S1410" s="283">
        <v>2016</v>
      </c>
      <c r="T1410" s="288">
        <f t="shared" si="65"/>
        <v>3768</v>
      </c>
    </row>
    <row r="1411" spans="2:20">
      <c r="B1411" s="386" t="s">
        <v>1516</v>
      </c>
      <c r="C1411" s="114"/>
      <c r="D1411" s="111" t="s">
        <v>1547</v>
      </c>
      <c r="E1411" s="111" t="s">
        <v>2054</v>
      </c>
      <c r="F1411" s="111"/>
      <c r="G1411" s="110" t="s">
        <v>2073</v>
      </c>
      <c r="H1411" s="141">
        <v>57.123851000000002</v>
      </c>
      <c r="I1411" s="280"/>
      <c r="J1411" s="72">
        <v>148.52000000000001</v>
      </c>
      <c r="K1411" s="271">
        <f t="shared" si="66"/>
        <v>8484.0343505200017</v>
      </c>
      <c r="L1411" s="111"/>
      <c r="M1411" s="73"/>
      <c r="N1411" s="112"/>
      <c r="O1411" s="111"/>
      <c r="P1411" s="312">
        <v>0</v>
      </c>
      <c r="Q1411" s="288">
        <f t="shared" si="67"/>
        <v>0</v>
      </c>
      <c r="R1411" s="118">
        <v>0</v>
      </c>
      <c r="S1411" s="283">
        <v>2016</v>
      </c>
      <c r="T1411" s="288">
        <f t="shared" si="65"/>
        <v>9193</v>
      </c>
    </row>
    <row r="1412" spans="2:20">
      <c r="B1412" s="386" t="s">
        <v>1517</v>
      </c>
      <c r="C1412" s="114"/>
      <c r="D1412" s="111" t="s">
        <v>1546</v>
      </c>
      <c r="E1412" s="111" t="s">
        <v>2055</v>
      </c>
      <c r="F1412" s="111"/>
      <c r="G1412" s="110" t="s">
        <v>2073</v>
      </c>
      <c r="H1412" s="141">
        <v>252.74837400000001</v>
      </c>
      <c r="I1412" s="280"/>
      <c r="J1412" s="72">
        <v>148.52000000000001</v>
      </c>
      <c r="K1412" s="271">
        <f t="shared" si="66"/>
        <v>37538.188506480008</v>
      </c>
      <c r="L1412" s="111"/>
      <c r="M1412" s="73"/>
      <c r="N1412" s="112"/>
      <c r="O1412" s="111"/>
      <c r="P1412" s="312">
        <v>0</v>
      </c>
      <c r="Q1412" s="288">
        <f t="shared" si="67"/>
        <v>0</v>
      </c>
      <c r="R1412" s="118">
        <v>0</v>
      </c>
      <c r="S1412" s="283">
        <v>2016</v>
      </c>
      <c r="T1412" s="288">
        <f t="shared" si="65"/>
        <v>40676</v>
      </c>
    </row>
    <row r="1413" spans="2:20">
      <c r="B1413" s="386" t="s">
        <v>1518</v>
      </c>
      <c r="C1413" s="114"/>
      <c r="D1413" s="111" t="s">
        <v>1547</v>
      </c>
      <c r="E1413" s="111" t="s">
        <v>2056</v>
      </c>
      <c r="F1413" s="111"/>
      <c r="G1413" s="110" t="s">
        <v>2073</v>
      </c>
      <c r="H1413" s="141">
        <v>954.82249899999999</v>
      </c>
      <c r="I1413" s="280"/>
      <c r="J1413" s="72">
        <v>148.52000000000001</v>
      </c>
      <c r="K1413" s="271">
        <f t="shared" si="66"/>
        <v>141810.23755148001</v>
      </c>
      <c r="L1413" s="111"/>
      <c r="M1413" s="73"/>
      <c r="N1413" s="112"/>
      <c r="O1413" s="111"/>
      <c r="P1413" s="312">
        <v>0</v>
      </c>
      <c r="Q1413" s="288">
        <f t="shared" si="67"/>
        <v>0</v>
      </c>
      <c r="R1413" s="118">
        <v>0</v>
      </c>
      <c r="S1413" s="283">
        <v>2016</v>
      </c>
      <c r="T1413" s="288">
        <f t="shared" si="65"/>
        <v>153664</v>
      </c>
    </row>
    <row r="1414" spans="2:20">
      <c r="B1414" s="386" t="s">
        <v>1519</v>
      </c>
      <c r="C1414" s="114"/>
      <c r="D1414" s="111" t="s">
        <v>1546</v>
      </c>
      <c r="E1414" s="111" t="s">
        <v>1996</v>
      </c>
      <c r="F1414" s="111"/>
      <c r="G1414" s="110" t="s">
        <v>2073</v>
      </c>
      <c r="H1414" s="141">
        <v>1305.649359</v>
      </c>
      <c r="I1414" s="280"/>
      <c r="J1414" s="72">
        <v>148.52000000000001</v>
      </c>
      <c r="K1414" s="271">
        <f t="shared" si="66"/>
        <v>193915.04279868002</v>
      </c>
      <c r="L1414" s="111"/>
      <c r="M1414" s="73"/>
      <c r="N1414" s="112"/>
      <c r="O1414" s="111"/>
      <c r="P1414" s="312">
        <v>0</v>
      </c>
      <c r="Q1414" s="288">
        <f t="shared" si="67"/>
        <v>0</v>
      </c>
      <c r="R1414" s="118">
        <v>0</v>
      </c>
      <c r="S1414" s="283">
        <v>2016</v>
      </c>
      <c r="T1414" s="288">
        <f t="shared" si="65"/>
        <v>210124</v>
      </c>
    </row>
    <row r="1415" spans="2:20">
      <c r="B1415" s="386" t="s">
        <v>1520</v>
      </c>
      <c r="C1415" s="114"/>
      <c r="D1415" s="111" t="s">
        <v>1546</v>
      </c>
      <c r="E1415" s="111" t="s">
        <v>1996</v>
      </c>
      <c r="F1415" s="111"/>
      <c r="G1415" s="110" t="s">
        <v>2073</v>
      </c>
      <c r="H1415" s="141">
        <v>9.1944020000000002</v>
      </c>
      <c r="I1415" s="280"/>
      <c r="J1415" s="72">
        <v>148.52000000000001</v>
      </c>
      <c r="K1415" s="271">
        <f t="shared" si="66"/>
        <v>1365.5525850400002</v>
      </c>
      <c r="L1415" s="111"/>
      <c r="M1415" s="73"/>
      <c r="N1415" s="112"/>
      <c r="O1415" s="111"/>
      <c r="P1415" s="312">
        <v>0</v>
      </c>
      <c r="Q1415" s="288">
        <f t="shared" si="67"/>
        <v>0</v>
      </c>
      <c r="R1415" s="118">
        <v>0</v>
      </c>
      <c r="S1415" s="283">
        <v>2016</v>
      </c>
      <c r="T1415" s="288">
        <f t="shared" si="65"/>
        <v>1480</v>
      </c>
    </row>
    <row r="1416" spans="2:20">
      <c r="B1416" s="386" t="s">
        <v>1521</v>
      </c>
      <c r="C1416" s="114"/>
      <c r="D1416" s="111" t="s">
        <v>1546</v>
      </c>
      <c r="E1416" s="111" t="s">
        <v>1996</v>
      </c>
      <c r="F1416" s="111"/>
      <c r="G1416" s="110" t="s">
        <v>2073</v>
      </c>
      <c r="H1416" s="141">
        <v>98.137674000000004</v>
      </c>
      <c r="I1416" s="280"/>
      <c r="J1416" s="72">
        <v>148.52000000000001</v>
      </c>
      <c r="K1416" s="271">
        <f t="shared" si="66"/>
        <v>14575.407342480001</v>
      </c>
      <c r="L1416" s="111"/>
      <c r="M1416" s="73"/>
      <c r="N1416" s="112"/>
      <c r="O1416" s="111"/>
      <c r="P1416" s="312">
        <v>0</v>
      </c>
      <c r="Q1416" s="288">
        <f t="shared" si="67"/>
        <v>0</v>
      </c>
      <c r="R1416" s="118">
        <v>0</v>
      </c>
      <c r="S1416" s="283">
        <v>2016</v>
      </c>
      <c r="T1416" s="288">
        <f t="shared" si="65"/>
        <v>15794</v>
      </c>
    </row>
    <row r="1417" spans="2:20">
      <c r="B1417" s="386" t="s">
        <v>1522</v>
      </c>
      <c r="C1417" s="114"/>
      <c r="D1417" s="111" t="s">
        <v>1546</v>
      </c>
      <c r="E1417" s="111" t="s">
        <v>1996</v>
      </c>
      <c r="F1417" s="111"/>
      <c r="G1417" s="110" t="s">
        <v>2073</v>
      </c>
      <c r="H1417" s="141">
        <v>854.73388899999998</v>
      </c>
      <c r="I1417" s="280"/>
      <c r="J1417" s="72">
        <v>148.52000000000001</v>
      </c>
      <c r="K1417" s="271">
        <f t="shared" si="66"/>
        <v>126945.07719428001</v>
      </c>
      <c r="L1417" s="111"/>
      <c r="M1417" s="73"/>
      <c r="N1417" s="112"/>
      <c r="O1417" s="111"/>
      <c r="P1417" s="312">
        <v>0</v>
      </c>
      <c r="Q1417" s="288">
        <f t="shared" si="67"/>
        <v>0</v>
      </c>
      <c r="R1417" s="118">
        <v>0</v>
      </c>
      <c r="S1417" s="283">
        <v>2016</v>
      </c>
      <c r="T1417" s="288">
        <f t="shared" si="65"/>
        <v>137556</v>
      </c>
    </row>
    <row r="1418" spans="2:20">
      <c r="B1418" s="386" t="s">
        <v>1523</v>
      </c>
      <c r="C1418" s="114"/>
      <c r="D1418" s="111" t="s">
        <v>1546</v>
      </c>
      <c r="E1418" s="111" t="s">
        <v>1996</v>
      </c>
      <c r="F1418" s="111"/>
      <c r="G1418" s="110" t="s">
        <v>2073</v>
      </c>
      <c r="H1418" s="141">
        <v>1401.208206</v>
      </c>
      <c r="I1418" s="280"/>
      <c r="J1418" s="72">
        <v>148.52000000000001</v>
      </c>
      <c r="K1418" s="271">
        <f t="shared" si="66"/>
        <v>208107.44275512002</v>
      </c>
      <c r="L1418" s="111"/>
      <c r="M1418" s="73"/>
      <c r="N1418" s="112"/>
      <c r="O1418" s="111"/>
      <c r="P1418" s="312">
        <v>0</v>
      </c>
      <c r="Q1418" s="288">
        <f t="shared" si="67"/>
        <v>0</v>
      </c>
      <c r="R1418" s="118">
        <v>0</v>
      </c>
      <c r="S1418" s="283">
        <v>2016</v>
      </c>
      <c r="T1418" s="288">
        <f t="shared" si="65"/>
        <v>225503</v>
      </c>
    </row>
    <row r="1419" spans="2:20">
      <c r="B1419" s="386" t="s">
        <v>1524</v>
      </c>
      <c r="C1419" s="114"/>
      <c r="D1419" s="111" t="s">
        <v>1546</v>
      </c>
      <c r="E1419" s="111" t="s">
        <v>1996</v>
      </c>
      <c r="F1419" s="111"/>
      <c r="G1419" s="110" t="s">
        <v>2073</v>
      </c>
      <c r="H1419" s="141">
        <v>286.03789699999999</v>
      </c>
      <c r="I1419" s="280"/>
      <c r="J1419" s="72">
        <v>148.52000000000001</v>
      </c>
      <c r="K1419" s="271">
        <f t="shared" si="66"/>
        <v>42482.348462440001</v>
      </c>
      <c r="L1419" s="111"/>
      <c r="M1419" s="73"/>
      <c r="N1419" s="112"/>
      <c r="O1419" s="111"/>
      <c r="P1419" s="312">
        <v>0</v>
      </c>
      <c r="Q1419" s="288">
        <f t="shared" si="67"/>
        <v>0</v>
      </c>
      <c r="R1419" s="118">
        <v>0</v>
      </c>
      <c r="S1419" s="283">
        <v>2016</v>
      </c>
      <c r="T1419" s="288">
        <f t="shared" si="65"/>
        <v>46033</v>
      </c>
    </row>
    <row r="1420" spans="2:20">
      <c r="B1420" s="386" t="s">
        <v>1525</v>
      </c>
      <c r="C1420" s="114"/>
      <c r="D1420" s="111" t="s">
        <v>1546</v>
      </c>
      <c r="E1420" s="111" t="s">
        <v>2057</v>
      </c>
      <c r="F1420" s="111"/>
      <c r="G1420" s="110" t="s">
        <v>2073</v>
      </c>
      <c r="H1420" s="141">
        <v>172.79386400000001</v>
      </c>
      <c r="I1420" s="280"/>
      <c r="J1420" s="72">
        <v>148.52000000000001</v>
      </c>
      <c r="K1420" s="271">
        <f t="shared" si="66"/>
        <v>25663.344681280003</v>
      </c>
      <c r="L1420" s="111"/>
      <c r="M1420" s="73"/>
      <c r="N1420" s="112"/>
      <c r="O1420" s="111"/>
      <c r="P1420" s="312">
        <v>0</v>
      </c>
      <c r="Q1420" s="288">
        <f t="shared" si="67"/>
        <v>0</v>
      </c>
      <c r="R1420" s="118">
        <v>0</v>
      </c>
      <c r="S1420" s="283">
        <v>2016</v>
      </c>
      <c r="T1420" s="288">
        <f t="shared" si="65"/>
        <v>27809</v>
      </c>
    </row>
    <row r="1421" spans="2:20">
      <c r="B1421" s="386" t="s">
        <v>1526</v>
      </c>
      <c r="C1421" s="114"/>
      <c r="D1421" s="111" t="s">
        <v>1546</v>
      </c>
      <c r="E1421" s="111" t="s">
        <v>2058</v>
      </c>
      <c r="F1421" s="111"/>
      <c r="G1421" s="110" t="s">
        <v>2073</v>
      </c>
      <c r="H1421" s="141">
        <v>72.525667999999996</v>
      </c>
      <c r="I1421" s="280"/>
      <c r="J1421" s="72">
        <v>148.52000000000001</v>
      </c>
      <c r="K1421" s="271">
        <f t="shared" ref="K1421:K1440" si="68">J1421*H1421</f>
        <v>10771.512211360001</v>
      </c>
      <c r="L1421" s="111"/>
      <c r="M1421" s="73"/>
      <c r="N1421" s="112"/>
      <c r="O1421" s="111"/>
      <c r="P1421" s="312">
        <v>0</v>
      </c>
      <c r="Q1421" s="288">
        <f t="shared" ref="Q1421:Q1480" si="69">IFERROR(R1421/P1421,0)</f>
        <v>0</v>
      </c>
      <c r="R1421" s="118">
        <v>0</v>
      </c>
      <c r="S1421" s="283">
        <v>2016</v>
      </c>
      <c r="T1421" s="288">
        <f t="shared" ref="T1421:T1480" si="70">IFERROR(ROUND((K1421*(1+PPI_Existing)^(YEAR-S1421))+(R1421*((1+LandInd_Existing)^(YEAR-S1421))),0),0)</f>
        <v>11672</v>
      </c>
    </row>
    <row r="1422" spans="2:20">
      <c r="B1422" s="386" t="s">
        <v>1527</v>
      </c>
      <c r="C1422" s="114"/>
      <c r="D1422" s="111" t="s">
        <v>1546</v>
      </c>
      <c r="E1422" s="111" t="s">
        <v>2059</v>
      </c>
      <c r="F1422" s="111"/>
      <c r="G1422" s="110" t="s">
        <v>2073</v>
      </c>
      <c r="H1422" s="141">
        <v>179.742796</v>
      </c>
      <c r="I1422" s="280"/>
      <c r="J1422" s="72">
        <v>148.52000000000001</v>
      </c>
      <c r="K1422" s="271">
        <f t="shared" si="68"/>
        <v>26695.400061920001</v>
      </c>
      <c r="L1422" s="111"/>
      <c r="M1422" s="73"/>
      <c r="N1422" s="112"/>
      <c r="O1422" s="111"/>
      <c r="P1422" s="312">
        <v>0</v>
      </c>
      <c r="Q1422" s="288">
        <f t="shared" si="69"/>
        <v>0</v>
      </c>
      <c r="R1422" s="118">
        <v>0</v>
      </c>
      <c r="S1422" s="283">
        <v>2016</v>
      </c>
      <c r="T1422" s="288">
        <f t="shared" si="70"/>
        <v>28927</v>
      </c>
    </row>
    <row r="1423" spans="2:20">
      <c r="B1423" s="386" t="s">
        <v>1528</v>
      </c>
      <c r="C1423" s="114"/>
      <c r="D1423" s="111" t="s">
        <v>1546</v>
      </c>
      <c r="E1423" s="111" t="s">
        <v>2059</v>
      </c>
      <c r="F1423" s="111"/>
      <c r="G1423" s="110" t="s">
        <v>2073</v>
      </c>
      <c r="H1423" s="141">
        <v>308.659852</v>
      </c>
      <c r="I1423" s="280"/>
      <c r="J1423" s="72">
        <v>148.52000000000001</v>
      </c>
      <c r="K1423" s="271">
        <f t="shared" si="68"/>
        <v>45842.161219040005</v>
      </c>
      <c r="L1423" s="111"/>
      <c r="M1423" s="73"/>
      <c r="N1423" s="112"/>
      <c r="O1423" s="111"/>
      <c r="P1423" s="312">
        <v>0</v>
      </c>
      <c r="Q1423" s="288">
        <f t="shared" si="69"/>
        <v>0</v>
      </c>
      <c r="R1423" s="118">
        <v>0</v>
      </c>
      <c r="S1423" s="283">
        <v>2016</v>
      </c>
      <c r="T1423" s="288">
        <f t="shared" si="70"/>
        <v>49674</v>
      </c>
    </row>
    <row r="1424" spans="2:20">
      <c r="B1424" s="386" t="s">
        <v>1529</v>
      </c>
      <c r="C1424" s="114"/>
      <c r="D1424" s="111" t="s">
        <v>1546</v>
      </c>
      <c r="E1424" s="111" t="s">
        <v>2059</v>
      </c>
      <c r="F1424" s="111"/>
      <c r="G1424" s="110" t="s">
        <v>2073</v>
      </c>
      <c r="H1424" s="141">
        <v>459.60229800000002</v>
      </c>
      <c r="I1424" s="280"/>
      <c r="J1424" s="72">
        <v>148.52000000000001</v>
      </c>
      <c r="K1424" s="271">
        <f t="shared" si="68"/>
        <v>68260.133298960005</v>
      </c>
      <c r="L1424" s="111"/>
      <c r="M1424" s="73"/>
      <c r="N1424" s="112"/>
      <c r="O1424" s="111"/>
      <c r="P1424" s="312">
        <v>0</v>
      </c>
      <c r="Q1424" s="288">
        <f t="shared" si="69"/>
        <v>0</v>
      </c>
      <c r="R1424" s="118">
        <v>0</v>
      </c>
      <c r="S1424" s="283">
        <v>2016</v>
      </c>
      <c r="T1424" s="288">
        <f t="shared" si="70"/>
        <v>73966</v>
      </c>
    </row>
    <row r="1425" spans="2:20">
      <c r="B1425" s="386" t="s">
        <v>1530</v>
      </c>
      <c r="C1425" s="114"/>
      <c r="D1425" s="111" t="s">
        <v>1546</v>
      </c>
      <c r="E1425" s="111" t="s">
        <v>2060</v>
      </c>
      <c r="F1425" s="111"/>
      <c r="G1425" s="110" t="s">
        <v>2073</v>
      </c>
      <c r="H1425" s="141">
        <v>144.79465200000001</v>
      </c>
      <c r="I1425" s="280"/>
      <c r="J1425" s="72">
        <v>148.52000000000001</v>
      </c>
      <c r="K1425" s="271">
        <f t="shared" si="68"/>
        <v>21504.901715040003</v>
      </c>
      <c r="L1425" s="111"/>
      <c r="M1425" s="73"/>
      <c r="N1425" s="112"/>
      <c r="O1425" s="111"/>
      <c r="P1425" s="312">
        <v>0</v>
      </c>
      <c r="Q1425" s="288">
        <f t="shared" si="69"/>
        <v>0</v>
      </c>
      <c r="R1425" s="118">
        <v>0</v>
      </c>
      <c r="S1425" s="283">
        <v>2016</v>
      </c>
      <c r="T1425" s="288">
        <f t="shared" si="70"/>
        <v>23302</v>
      </c>
    </row>
    <row r="1426" spans="2:20">
      <c r="B1426" s="386" t="s">
        <v>1531</v>
      </c>
      <c r="C1426" s="114"/>
      <c r="D1426" s="111" t="s">
        <v>1547</v>
      </c>
      <c r="E1426" s="111" t="s">
        <v>2025</v>
      </c>
      <c r="F1426" s="111"/>
      <c r="G1426" s="110" t="s">
        <v>2073</v>
      </c>
      <c r="H1426" s="141">
        <v>222.51692</v>
      </c>
      <c r="I1426" s="280"/>
      <c r="J1426" s="72">
        <v>148.52000000000001</v>
      </c>
      <c r="K1426" s="271">
        <f t="shared" si="68"/>
        <v>33048.212958399999</v>
      </c>
      <c r="L1426" s="111"/>
      <c r="M1426" s="73"/>
      <c r="N1426" s="112"/>
      <c r="O1426" s="111"/>
      <c r="P1426" s="312">
        <v>0</v>
      </c>
      <c r="Q1426" s="288">
        <f t="shared" si="69"/>
        <v>0</v>
      </c>
      <c r="R1426" s="118">
        <v>0</v>
      </c>
      <c r="S1426" s="283">
        <v>2016</v>
      </c>
      <c r="T1426" s="288">
        <f t="shared" si="70"/>
        <v>35811</v>
      </c>
    </row>
    <row r="1427" spans="2:20">
      <c r="B1427" s="386" t="s">
        <v>1532</v>
      </c>
      <c r="C1427" s="114"/>
      <c r="D1427" s="111" t="s">
        <v>1547</v>
      </c>
      <c r="E1427" s="111" t="s">
        <v>2061</v>
      </c>
      <c r="F1427" s="111"/>
      <c r="G1427" s="110" t="s">
        <v>2073</v>
      </c>
      <c r="H1427" s="141">
        <v>103.82848300000001</v>
      </c>
      <c r="I1427" s="280"/>
      <c r="J1427" s="72">
        <v>148.52000000000001</v>
      </c>
      <c r="K1427" s="271">
        <f t="shared" si="68"/>
        <v>15420.606295160002</v>
      </c>
      <c r="L1427" s="111"/>
      <c r="M1427" s="73"/>
      <c r="N1427" s="112"/>
      <c r="O1427" s="111"/>
      <c r="P1427" s="312">
        <v>0</v>
      </c>
      <c r="Q1427" s="288">
        <f t="shared" si="69"/>
        <v>0</v>
      </c>
      <c r="R1427" s="118">
        <v>0</v>
      </c>
      <c r="S1427" s="283">
        <v>2016</v>
      </c>
      <c r="T1427" s="288">
        <f t="shared" si="70"/>
        <v>16710</v>
      </c>
    </row>
    <row r="1428" spans="2:20">
      <c r="B1428" s="386" t="s">
        <v>1533</v>
      </c>
      <c r="C1428" s="114"/>
      <c r="D1428" s="111" t="s">
        <v>1547</v>
      </c>
      <c r="E1428" s="111" t="s">
        <v>2063</v>
      </c>
      <c r="F1428" s="111"/>
      <c r="G1428" s="110" t="s">
        <v>2073</v>
      </c>
      <c r="H1428" s="141">
        <v>1308.041782</v>
      </c>
      <c r="I1428" s="280"/>
      <c r="J1428" s="72">
        <v>148.52000000000001</v>
      </c>
      <c r="K1428" s="271">
        <f t="shared" si="68"/>
        <v>194270.36546264001</v>
      </c>
      <c r="L1428" s="111"/>
      <c r="M1428" s="73"/>
      <c r="N1428" s="112"/>
      <c r="O1428" s="111"/>
      <c r="P1428" s="312">
        <v>0</v>
      </c>
      <c r="Q1428" s="288">
        <f t="shared" si="69"/>
        <v>0</v>
      </c>
      <c r="R1428" s="118">
        <v>0</v>
      </c>
      <c r="S1428" s="283">
        <v>2016</v>
      </c>
      <c r="T1428" s="288">
        <f t="shared" si="70"/>
        <v>210509</v>
      </c>
    </row>
    <row r="1429" spans="2:20">
      <c r="B1429" s="386" t="s">
        <v>1534</v>
      </c>
      <c r="C1429" s="114"/>
      <c r="D1429" s="111" t="s">
        <v>1547</v>
      </c>
      <c r="E1429" s="111" t="s">
        <v>2064</v>
      </c>
      <c r="F1429" s="111"/>
      <c r="G1429" s="110" t="s">
        <v>2073</v>
      </c>
      <c r="H1429" s="141">
        <v>211.904595</v>
      </c>
      <c r="I1429" s="280"/>
      <c r="J1429" s="72">
        <v>148.52000000000001</v>
      </c>
      <c r="K1429" s="271">
        <f t="shared" si="68"/>
        <v>31472.070449400002</v>
      </c>
      <c r="L1429" s="111"/>
      <c r="M1429" s="73"/>
      <c r="N1429" s="112"/>
      <c r="O1429" s="111"/>
      <c r="P1429" s="312">
        <v>0</v>
      </c>
      <c r="Q1429" s="288">
        <f t="shared" si="69"/>
        <v>0</v>
      </c>
      <c r="R1429" s="118">
        <v>0</v>
      </c>
      <c r="S1429" s="283">
        <v>2016</v>
      </c>
      <c r="T1429" s="288">
        <f t="shared" si="70"/>
        <v>34103</v>
      </c>
    </row>
    <row r="1430" spans="2:20">
      <c r="B1430" s="386" t="s">
        <v>1535</v>
      </c>
      <c r="C1430" s="114"/>
      <c r="D1430" s="111" t="s">
        <v>1547</v>
      </c>
      <c r="E1430" s="111" t="s">
        <v>2065</v>
      </c>
      <c r="F1430" s="111"/>
      <c r="G1430" s="110" t="s">
        <v>2073</v>
      </c>
      <c r="H1430" s="141">
        <v>319.35074700000001</v>
      </c>
      <c r="I1430" s="280"/>
      <c r="J1430" s="72">
        <v>148.52000000000001</v>
      </c>
      <c r="K1430" s="271">
        <f t="shared" si="68"/>
        <v>47429.972944440007</v>
      </c>
      <c r="L1430" s="111"/>
      <c r="M1430" s="73"/>
      <c r="N1430" s="112"/>
      <c r="O1430" s="111"/>
      <c r="P1430" s="312">
        <v>0</v>
      </c>
      <c r="Q1430" s="288">
        <f t="shared" si="69"/>
        <v>0</v>
      </c>
      <c r="R1430" s="118">
        <v>0</v>
      </c>
      <c r="S1430" s="283">
        <v>2016</v>
      </c>
      <c r="T1430" s="288">
        <f t="shared" si="70"/>
        <v>51395</v>
      </c>
    </row>
    <row r="1431" spans="2:20">
      <c r="B1431" s="386" t="s">
        <v>1536</v>
      </c>
      <c r="C1431" s="114"/>
      <c r="D1431" s="111" t="s">
        <v>1547</v>
      </c>
      <c r="E1431" s="111" t="s">
        <v>2066</v>
      </c>
      <c r="F1431" s="111"/>
      <c r="G1431" s="110" t="s">
        <v>2073</v>
      </c>
      <c r="H1431" s="141">
        <v>976.75089400000002</v>
      </c>
      <c r="I1431" s="280"/>
      <c r="J1431" s="72">
        <v>148.52000000000001</v>
      </c>
      <c r="K1431" s="271">
        <f t="shared" si="68"/>
        <v>145067.04277688</v>
      </c>
      <c r="L1431" s="111"/>
      <c r="M1431" s="73"/>
      <c r="N1431" s="112"/>
      <c r="O1431" s="111"/>
      <c r="P1431" s="312">
        <v>0</v>
      </c>
      <c r="Q1431" s="288">
        <f t="shared" si="69"/>
        <v>0</v>
      </c>
      <c r="R1431" s="118">
        <v>0</v>
      </c>
      <c r="S1431" s="283">
        <v>2016</v>
      </c>
      <c r="T1431" s="288">
        <f t="shared" si="70"/>
        <v>157193</v>
      </c>
    </row>
    <row r="1432" spans="2:20">
      <c r="B1432" s="386" t="s">
        <v>1537</v>
      </c>
      <c r="C1432" s="114"/>
      <c r="D1432" s="111" t="s">
        <v>1547</v>
      </c>
      <c r="E1432" s="111" t="s">
        <v>2067</v>
      </c>
      <c r="F1432" s="111"/>
      <c r="G1432" s="110" t="s">
        <v>2073</v>
      </c>
      <c r="H1432" s="141">
        <v>5.7192809999999996</v>
      </c>
      <c r="I1432" s="280"/>
      <c r="J1432" s="72">
        <v>148.52000000000001</v>
      </c>
      <c r="K1432" s="271">
        <f t="shared" si="68"/>
        <v>849.42761412000004</v>
      </c>
      <c r="L1432" s="111"/>
      <c r="M1432" s="73"/>
      <c r="N1432" s="112"/>
      <c r="O1432" s="111"/>
      <c r="P1432" s="312">
        <v>0</v>
      </c>
      <c r="Q1432" s="288">
        <f t="shared" si="69"/>
        <v>0</v>
      </c>
      <c r="R1432" s="118">
        <v>0</v>
      </c>
      <c r="S1432" s="283">
        <v>2016</v>
      </c>
      <c r="T1432" s="288">
        <f t="shared" si="70"/>
        <v>920</v>
      </c>
    </row>
    <row r="1433" spans="2:20">
      <c r="B1433" s="386" t="s">
        <v>1538</v>
      </c>
      <c r="C1433" s="114"/>
      <c r="D1433" s="111" t="s">
        <v>1547</v>
      </c>
      <c r="E1433" s="111" t="s">
        <v>2062</v>
      </c>
      <c r="F1433" s="111"/>
      <c r="G1433" s="110" t="s">
        <v>2073</v>
      </c>
      <c r="H1433" s="141">
        <v>629.06035199999997</v>
      </c>
      <c r="I1433" s="280"/>
      <c r="J1433" s="72">
        <v>148.52000000000001</v>
      </c>
      <c r="K1433" s="271">
        <f t="shared" si="68"/>
        <v>93428.043479040003</v>
      </c>
      <c r="L1433" s="111"/>
      <c r="M1433" s="73"/>
      <c r="N1433" s="112"/>
      <c r="O1433" s="111"/>
      <c r="P1433" s="312">
        <v>0</v>
      </c>
      <c r="Q1433" s="288">
        <f t="shared" si="69"/>
        <v>0</v>
      </c>
      <c r="R1433" s="118">
        <v>0</v>
      </c>
      <c r="S1433" s="283">
        <v>2016</v>
      </c>
      <c r="T1433" s="288">
        <f t="shared" si="70"/>
        <v>101238</v>
      </c>
    </row>
    <row r="1434" spans="2:20">
      <c r="B1434" s="386" t="s">
        <v>1539</v>
      </c>
      <c r="C1434" s="114"/>
      <c r="D1434" s="111" t="s">
        <v>1547</v>
      </c>
      <c r="E1434" s="111" t="s">
        <v>2068</v>
      </c>
      <c r="F1434" s="111"/>
      <c r="G1434" s="110" t="s">
        <v>2073</v>
      </c>
      <c r="H1434" s="141">
        <v>1948.731792</v>
      </c>
      <c r="I1434" s="280"/>
      <c r="J1434" s="72">
        <v>148.52000000000001</v>
      </c>
      <c r="K1434" s="271">
        <f t="shared" si="68"/>
        <v>289425.64574784</v>
      </c>
      <c r="L1434" s="111"/>
      <c r="M1434" s="73"/>
      <c r="N1434" s="112"/>
      <c r="O1434" s="111"/>
      <c r="P1434" s="312">
        <v>923.70585200000005</v>
      </c>
      <c r="Q1434" s="288">
        <f t="shared" si="69"/>
        <v>30.545991496002774</v>
      </c>
      <c r="R1434" s="118">
        <v>28215.5111</v>
      </c>
      <c r="S1434" s="283">
        <v>2016</v>
      </c>
      <c r="T1434" s="288">
        <f t="shared" si="70"/>
        <v>344242</v>
      </c>
    </row>
    <row r="1435" spans="2:20">
      <c r="B1435" s="386" t="s">
        <v>1540</v>
      </c>
      <c r="C1435" s="114"/>
      <c r="D1435" s="111" t="s">
        <v>1547</v>
      </c>
      <c r="E1435" s="111" t="s">
        <v>2069</v>
      </c>
      <c r="F1435" s="111"/>
      <c r="G1435" s="110" t="s">
        <v>2073</v>
      </c>
      <c r="H1435" s="141">
        <v>426.551491</v>
      </c>
      <c r="I1435" s="280"/>
      <c r="J1435" s="72">
        <v>148.52000000000001</v>
      </c>
      <c r="K1435" s="271">
        <f t="shared" si="68"/>
        <v>63351.427443320004</v>
      </c>
      <c r="L1435" s="111"/>
      <c r="M1435" s="73"/>
      <c r="N1435" s="112"/>
      <c r="O1435" s="111"/>
      <c r="P1435" s="312">
        <v>0</v>
      </c>
      <c r="Q1435" s="288">
        <f t="shared" si="69"/>
        <v>0</v>
      </c>
      <c r="R1435" s="118">
        <v>0</v>
      </c>
      <c r="S1435" s="283">
        <v>2016</v>
      </c>
      <c r="T1435" s="288">
        <f t="shared" si="70"/>
        <v>68647</v>
      </c>
    </row>
    <row r="1436" spans="2:20">
      <c r="B1436" s="386" t="s">
        <v>1541</v>
      </c>
      <c r="C1436" s="114"/>
      <c r="D1436" s="111" t="s">
        <v>1547</v>
      </c>
      <c r="E1436" s="111" t="s">
        <v>2040</v>
      </c>
      <c r="F1436" s="111"/>
      <c r="G1436" s="110" t="s">
        <v>2073</v>
      </c>
      <c r="H1436" s="141">
        <v>514.59429299999999</v>
      </c>
      <c r="I1436" s="280"/>
      <c r="J1436" s="72">
        <v>148.52000000000001</v>
      </c>
      <c r="K1436" s="271">
        <f t="shared" si="68"/>
        <v>76427.544396359997</v>
      </c>
      <c r="L1436" s="111"/>
      <c r="M1436" s="73"/>
      <c r="N1436" s="112"/>
      <c r="O1436" s="111"/>
      <c r="P1436" s="312">
        <v>0</v>
      </c>
      <c r="Q1436" s="288">
        <f t="shared" si="69"/>
        <v>0</v>
      </c>
      <c r="R1436" s="118">
        <v>0</v>
      </c>
      <c r="S1436" s="283">
        <v>2016</v>
      </c>
      <c r="T1436" s="288">
        <f t="shared" si="70"/>
        <v>82816</v>
      </c>
    </row>
    <row r="1437" spans="2:20">
      <c r="B1437" s="386" t="s">
        <v>1542</v>
      </c>
      <c r="C1437" s="114"/>
      <c r="D1437" s="111" t="s">
        <v>1547</v>
      </c>
      <c r="E1437" s="111" t="s">
        <v>2040</v>
      </c>
      <c r="F1437" s="111"/>
      <c r="G1437" s="110" t="s">
        <v>2073</v>
      </c>
      <c r="H1437" s="141">
        <v>37.407648000000002</v>
      </c>
      <c r="I1437" s="280"/>
      <c r="J1437" s="72">
        <v>148.52000000000001</v>
      </c>
      <c r="K1437" s="271">
        <f t="shared" si="68"/>
        <v>5555.7838809600007</v>
      </c>
      <c r="L1437" s="111"/>
      <c r="M1437" s="73"/>
      <c r="N1437" s="112"/>
      <c r="O1437" s="111"/>
      <c r="P1437" s="312">
        <v>0</v>
      </c>
      <c r="Q1437" s="288">
        <f t="shared" si="69"/>
        <v>0</v>
      </c>
      <c r="R1437" s="118">
        <v>0</v>
      </c>
      <c r="S1437" s="283">
        <v>2016</v>
      </c>
      <c r="T1437" s="288">
        <f t="shared" si="70"/>
        <v>6020</v>
      </c>
    </row>
    <row r="1438" spans="2:20">
      <c r="B1438" s="386" t="s">
        <v>1543</v>
      </c>
      <c r="C1438" s="114"/>
      <c r="D1438" s="111" t="s">
        <v>1547</v>
      </c>
      <c r="E1438" s="111" t="s">
        <v>2070</v>
      </c>
      <c r="F1438" s="111"/>
      <c r="G1438" s="110" t="s">
        <v>2073</v>
      </c>
      <c r="H1438" s="141">
        <v>592.94664399999999</v>
      </c>
      <c r="I1438" s="280"/>
      <c r="J1438" s="72">
        <v>148.52000000000001</v>
      </c>
      <c r="K1438" s="271">
        <f t="shared" si="68"/>
        <v>88064.435566879998</v>
      </c>
      <c r="L1438" s="111"/>
      <c r="M1438" s="73"/>
      <c r="N1438" s="112"/>
      <c r="O1438" s="111"/>
      <c r="P1438" s="312">
        <v>0</v>
      </c>
      <c r="Q1438" s="288">
        <f t="shared" si="69"/>
        <v>0</v>
      </c>
      <c r="R1438" s="118">
        <v>0</v>
      </c>
      <c r="S1438" s="283">
        <v>2016</v>
      </c>
      <c r="T1438" s="288">
        <f t="shared" si="70"/>
        <v>95426</v>
      </c>
    </row>
    <row r="1439" spans="2:20">
      <c r="B1439" s="386" t="s">
        <v>1544</v>
      </c>
      <c r="C1439" s="114"/>
      <c r="D1439" s="111" t="s">
        <v>1547</v>
      </c>
      <c r="E1439" s="111" t="s">
        <v>2070</v>
      </c>
      <c r="F1439" s="111"/>
      <c r="G1439" s="110" t="s">
        <v>2073</v>
      </c>
      <c r="H1439" s="141">
        <v>249.57526799999999</v>
      </c>
      <c r="I1439" s="280"/>
      <c r="J1439" s="72">
        <v>148.52000000000001</v>
      </c>
      <c r="K1439" s="271">
        <f t="shared" si="68"/>
        <v>37066.91880336</v>
      </c>
      <c r="L1439" s="111"/>
      <c r="M1439" s="73"/>
      <c r="N1439" s="112"/>
      <c r="O1439" s="111"/>
      <c r="P1439" s="312">
        <v>0</v>
      </c>
      <c r="Q1439" s="288">
        <f t="shared" si="69"/>
        <v>0</v>
      </c>
      <c r="R1439" s="118">
        <v>0</v>
      </c>
      <c r="S1439" s="283">
        <v>2016</v>
      </c>
      <c r="T1439" s="288">
        <f t="shared" si="70"/>
        <v>40165</v>
      </c>
    </row>
    <row r="1440" spans="2:20">
      <c r="B1440" s="386" t="s">
        <v>1545</v>
      </c>
      <c r="C1440" s="114"/>
      <c r="D1440" s="111" t="s">
        <v>1547</v>
      </c>
      <c r="E1440" s="111" t="s">
        <v>2071</v>
      </c>
      <c r="F1440" s="111"/>
      <c r="G1440" s="110" t="s">
        <v>2073</v>
      </c>
      <c r="H1440" s="141">
        <v>155.97750099999999</v>
      </c>
      <c r="I1440" s="280"/>
      <c r="J1440" s="72">
        <v>148.52000000000001</v>
      </c>
      <c r="K1440" s="271">
        <f t="shared" si="68"/>
        <v>23165.778448519999</v>
      </c>
      <c r="L1440" s="111"/>
      <c r="M1440" s="73"/>
      <c r="N1440" s="112"/>
      <c r="O1440" s="111"/>
      <c r="P1440" s="312">
        <v>0</v>
      </c>
      <c r="Q1440" s="288">
        <f t="shared" si="69"/>
        <v>0</v>
      </c>
      <c r="R1440" s="118">
        <v>0</v>
      </c>
      <c r="S1440" s="283">
        <v>2016</v>
      </c>
      <c r="T1440" s="288">
        <f t="shared" si="70"/>
        <v>25102</v>
      </c>
    </row>
    <row r="1441" spans="2:20">
      <c r="B1441" s="387">
        <v>40000059</v>
      </c>
      <c r="C1441" s="114"/>
      <c r="D1441" s="111" t="s">
        <v>2076</v>
      </c>
      <c r="E1441" s="111" t="s">
        <v>2079</v>
      </c>
      <c r="F1441" s="111"/>
      <c r="G1441" s="110"/>
      <c r="H1441" s="122"/>
      <c r="I1441" s="280"/>
      <c r="J1441" s="72"/>
      <c r="K1441" s="271">
        <v>4370561.79</v>
      </c>
      <c r="L1441" s="111"/>
      <c r="M1441" s="73"/>
      <c r="N1441" s="112"/>
      <c r="O1441" s="111"/>
      <c r="P1441" s="312">
        <v>0</v>
      </c>
      <c r="Q1441" s="288">
        <f t="shared" si="69"/>
        <v>0</v>
      </c>
      <c r="R1441" s="118"/>
      <c r="S1441" s="283">
        <v>2016</v>
      </c>
      <c r="T1441" s="288">
        <f t="shared" si="70"/>
        <v>4735896</v>
      </c>
    </row>
    <row r="1442" spans="2:20">
      <c r="B1442" s="387">
        <v>40042288</v>
      </c>
      <c r="C1442" s="114"/>
      <c r="D1442" s="111" t="s">
        <v>2076</v>
      </c>
      <c r="E1442" s="111" t="s">
        <v>2080</v>
      </c>
      <c r="F1442" s="111"/>
      <c r="G1442" s="110"/>
      <c r="H1442" s="122"/>
      <c r="I1442" s="280"/>
      <c r="J1442" s="72"/>
      <c r="K1442" s="271">
        <v>7544437.9199999999</v>
      </c>
      <c r="L1442" s="111"/>
      <c r="M1442" s="73"/>
      <c r="N1442" s="112"/>
      <c r="O1442" s="111"/>
      <c r="P1442" s="312">
        <v>0</v>
      </c>
      <c r="Q1442" s="288">
        <f t="shared" si="69"/>
        <v>0</v>
      </c>
      <c r="R1442" s="118"/>
      <c r="S1442" s="283">
        <v>2016</v>
      </c>
      <c r="T1442" s="288">
        <f t="shared" si="70"/>
        <v>8175075</v>
      </c>
    </row>
    <row r="1443" spans="2:20">
      <c r="B1443" s="387">
        <v>40043023</v>
      </c>
      <c r="C1443" s="114"/>
      <c r="D1443" s="111" t="s">
        <v>2076</v>
      </c>
      <c r="E1443" s="111" t="s">
        <v>2081</v>
      </c>
      <c r="F1443" s="111"/>
      <c r="G1443" s="110"/>
      <c r="H1443" s="122"/>
      <c r="I1443" s="280"/>
      <c r="J1443" s="72"/>
      <c r="K1443" s="271">
        <v>342326.66</v>
      </c>
      <c r="L1443" s="111"/>
      <c r="M1443" s="73"/>
      <c r="N1443" s="112"/>
      <c r="O1443" s="111"/>
      <c r="P1443" s="312">
        <v>0</v>
      </c>
      <c r="Q1443" s="288">
        <f t="shared" si="69"/>
        <v>0</v>
      </c>
      <c r="R1443" s="118"/>
      <c r="S1443" s="283">
        <v>2016</v>
      </c>
      <c r="T1443" s="288">
        <f t="shared" si="70"/>
        <v>370942</v>
      </c>
    </row>
    <row r="1444" spans="2:20">
      <c r="B1444" s="387">
        <v>40044419</v>
      </c>
      <c r="C1444" s="114"/>
      <c r="D1444" s="111" t="s">
        <v>2076</v>
      </c>
      <c r="E1444" s="111" t="s">
        <v>2082</v>
      </c>
      <c r="F1444" s="111"/>
      <c r="G1444" s="110"/>
      <c r="H1444" s="122"/>
      <c r="I1444" s="280"/>
      <c r="J1444" s="72"/>
      <c r="K1444" s="271">
        <v>1203355.52</v>
      </c>
      <c r="L1444" s="111"/>
      <c r="M1444" s="73"/>
      <c r="N1444" s="112"/>
      <c r="O1444" s="111"/>
      <c r="P1444" s="312">
        <v>0</v>
      </c>
      <c r="Q1444" s="288">
        <f t="shared" si="69"/>
        <v>0</v>
      </c>
      <c r="R1444" s="290"/>
      <c r="S1444" s="283">
        <v>2016</v>
      </c>
      <c r="T1444" s="288">
        <f t="shared" si="70"/>
        <v>1303944</v>
      </c>
    </row>
    <row r="1445" spans="2:20">
      <c r="B1445" s="387">
        <v>40047932</v>
      </c>
      <c r="C1445" s="114"/>
      <c r="D1445" s="111" t="s">
        <v>2076</v>
      </c>
      <c r="E1445" s="111" t="s">
        <v>2083</v>
      </c>
      <c r="F1445" s="111"/>
      <c r="G1445" s="110"/>
      <c r="H1445" s="122"/>
      <c r="I1445" s="280"/>
      <c r="J1445" s="72"/>
      <c r="K1445" s="271">
        <v>406374.88</v>
      </c>
      <c r="L1445" s="111"/>
      <c r="M1445" s="73"/>
      <c r="N1445" s="112"/>
      <c r="O1445" s="111"/>
      <c r="P1445" s="312">
        <v>0</v>
      </c>
      <c r="Q1445" s="288">
        <f t="shared" si="69"/>
        <v>0</v>
      </c>
      <c r="R1445" s="118"/>
      <c r="S1445" s="283">
        <v>2016</v>
      </c>
      <c r="T1445" s="288">
        <f t="shared" si="70"/>
        <v>440344</v>
      </c>
    </row>
    <row r="1446" spans="2:20">
      <c r="B1446" s="387">
        <v>40048078</v>
      </c>
      <c r="C1446" s="114"/>
      <c r="D1446" s="111" t="s">
        <v>2076</v>
      </c>
      <c r="E1446" s="111" t="s">
        <v>2084</v>
      </c>
      <c r="F1446" s="111"/>
      <c r="G1446" s="110"/>
      <c r="H1446" s="122"/>
      <c r="I1446" s="280"/>
      <c r="J1446" s="72"/>
      <c r="K1446" s="271">
        <v>3357009.85</v>
      </c>
      <c r="L1446" s="111"/>
      <c r="M1446" s="73"/>
      <c r="N1446" s="112"/>
      <c r="O1446" s="111"/>
      <c r="P1446" s="312">
        <v>0</v>
      </c>
      <c r="Q1446" s="288">
        <f t="shared" si="69"/>
        <v>0</v>
      </c>
      <c r="R1446" s="118"/>
      <c r="S1446" s="283">
        <v>2016</v>
      </c>
      <c r="T1446" s="288">
        <f t="shared" si="70"/>
        <v>3637621</v>
      </c>
    </row>
    <row r="1447" spans="2:20">
      <c r="B1447" s="387">
        <v>40048356</v>
      </c>
      <c r="C1447" s="114"/>
      <c r="D1447" s="111" t="s">
        <v>2076</v>
      </c>
      <c r="E1447" s="111" t="s">
        <v>2085</v>
      </c>
      <c r="F1447" s="111"/>
      <c r="G1447" s="110"/>
      <c r="H1447" s="122"/>
      <c r="I1447" s="280"/>
      <c r="J1447" s="72"/>
      <c r="K1447" s="271">
        <v>695696.12</v>
      </c>
      <c r="L1447" s="111"/>
      <c r="M1447" s="73"/>
      <c r="N1447" s="112"/>
      <c r="O1447" s="111"/>
      <c r="P1447" s="312">
        <v>0</v>
      </c>
      <c r="Q1447" s="288">
        <f t="shared" si="69"/>
        <v>0</v>
      </c>
      <c r="R1447" s="118"/>
      <c r="S1447" s="283">
        <v>2016</v>
      </c>
      <c r="T1447" s="288">
        <f t="shared" si="70"/>
        <v>753849</v>
      </c>
    </row>
    <row r="1448" spans="2:20">
      <c r="B1448" s="387">
        <v>40049452</v>
      </c>
      <c r="C1448" s="114"/>
      <c r="D1448" s="111" t="s">
        <v>2076</v>
      </c>
      <c r="E1448" s="111" t="s">
        <v>2086</v>
      </c>
      <c r="F1448" s="111"/>
      <c r="G1448" s="110"/>
      <c r="H1448" s="122"/>
      <c r="I1448" s="280"/>
      <c r="J1448" s="72"/>
      <c r="K1448" s="271">
        <v>2159970.81</v>
      </c>
      <c r="L1448" s="111"/>
      <c r="M1448" s="73"/>
      <c r="N1448" s="112"/>
      <c r="O1448" s="111"/>
      <c r="P1448" s="312">
        <v>0</v>
      </c>
      <c r="Q1448" s="288">
        <f t="shared" si="69"/>
        <v>0</v>
      </c>
      <c r="R1448" s="118"/>
      <c r="S1448" s="283">
        <v>2016</v>
      </c>
      <c r="T1448" s="288">
        <f t="shared" si="70"/>
        <v>2340522</v>
      </c>
    </row>
    <row r="1449" spans="2:20">
      <c r="B1449" s="387">
        <v>40050776</v>
      </c>
      <c r="C1449" s="114"/>
      <c r="D1449" s="111" t="s">
        <v>2076</v>
      </c>
      <c r="E1449" s="111" t="s">
        <v>2087</v>
      </c>
      <c r="F1449" s="111"/>
      <c r="G1449" s="110"/>
      <c r="H1449" s="122"/>
      <c r="I1449" s="280"/>
      <c r="J1449" s="72"/>
      <c r="K1449" s="271">
        <v>3482632.69</v>
      </c>
      <c r="L1449" s="111"/>
      <c r="M1449" s="73"/>
      <c r="N1449" s="112"/>
      <c r="O1449" s="111"/>
      <c r="P1449" s="312">
        <v>0</v>
      </c>
      <c r="Q1449" s="288">
        <f t="shared" si="69"/>
        <v>0</v>
      </c>
      <c r="R1449" s="118"/>
      <c r="S1449" s="283">
        <v>2016</v>
      </c>
      <c r="T1449" s="288">
        <f t="shared" si="70"/>
        <v>3773745</v>
      </c>
    </row>
    <row r="1450" spans="2:20">
      <c r="B1450" s="387">
        <v>40050777</v>
      </c>
      <c r="C1450" s="114"/>
      <c r="D1450" s="111" t="s">
        <v>2076</v>
      </c>
      <c r="E1450" s="111" t="s">
        <v>2088</v>
      </c>
      <c r="F1450" s="111"/>
      <c r="G1450" s="110"/>
      <c r="H1450" s="122"/>
      <c r="I1450" s="280"/>
      <c r="J1450" s="72"/>
      <c r="K1450" s="271">
        <v>960723.21</v>
      </c>
      <c r="L1450" s="111"/>
      <c r="M1450" s="73"/>
      <c r="N1450" s="112"/>
      <c r="O1450" s="111"/>
      <c r="P1450" s="312">
        <v>0</v>
      </c>
      <c r="Q1450" s="288">
        <f t="shared" si="69"/>
        <v>0</v>
      </c>
      <c r="R1450" s="118"/>
      <c r="S1450" s="283">
        <v>2016</v>
      </c>
      <c r="T1450" s="288">
        <f t="shared" si="70"/>
        <v>1041030</v>
      </c>
    </row>
    <row r="1451" spans="2:20">
      <c r="B1451" s="387">
        <v>40050779</v>
      </c>
      <c r="C1451" s="114"/>
      <c r="D1451" s="111" t="s">
        <v>2076</v>
      </c>
      <c r="E1451" s="111" t="s">
        <v>2089</v>
      </c>
      <c r="F1451" s="111"/>
      <c r="G1451" s="110"/>
      <c r="H1451" s="122"/>
      <c r="I1451" s="280"/>
      <c r="J1451" s="72"/>
      <c r="K1451" s="271">
        <v>401957.76</v>
      </c>
      <c r="L1451" s="111"/>
      <c r="M1451" s="73"/>
      <c r="N1451" s="112"/>
      <c r="O1451" s="111"/>
      <c r="P1451" s="312">
        <v>0</v>
      </c>
      <c r="Q1451" s="288">
        <f t="shared" si="69"/>
        <v>0</v>
      </c>
      <c r="R1451" s="118"/>
      <c r="S1451" s="283">
        <v>2016</v>
      </c>
      <c r="T1451" s="288">
        <f t="shared" si="70"/>
        <v>435557</v>
      </c>
    </row>
    <row r="1452" spans="2:20">
      <c r="B1452" s="387">
        <v>40050780</v>
      </c>
      <c r="C1452" s="114"/>
      <c r="D1452" s="111" t="s">
        <v>2076</v>
      </c>
      <c r="E1452" s="111" t="s">
        <v>2090</v>
      </c>
      <c r="F1452" s="111"/>
      <c r="G1452" s="110"/>
      <c r="H1452" s="122"/>
      <c r="I1452" s="280"/>
      <c r="J1452" s="72"/>
      <c r="K1452" s="271">
        <v>573341.93999999994</v>
      </c>
      <c r="L1452" s="111"/>
      <c r="M1452" s="73"/>
      <c r="N1452" s="112"/>
      <c r="O1452" s="111"/>
      <c r="P1452" s="312">
        <v>0</v>
      </c>
      <c r="Q1452" s="288">
        <f t="shared" si="69"/>
        <v>0</v>
      </c>
      <c r="R1452" s="118"/>
      <c r="S1452" s="283">
        <v>2016</v>
      </c>
      <c r="T1452" s="288">
        <f t="shared" si="70"/>
        <v>621267</v>
      </c>
    </row>
    <row r="1453" spans="2:20">
      <c r="B1453" s="387">
        <v>40050781</v>
      </c>
      <c r="C1453" s="114"/>
      <c r="D1453" s="111" t="s">
        <v>2076</v>
      </c>
      <c r="E1453" s="111" t="s">
        <v>2091</v>
      </c>
      <c r="F1453" s="111"/>
      <c r="G1453" s="110"/>
      <c r="H1453" s="122"/>
      <c r="I1453" s="280"/>
      <c r="J1453" s="72"/>
      <c r="K1453" s="271">
        <v>1697498.53</v>
      </c>
      <c r="L1453" s="111"/>
      <c r="M1453" s="73"/>
      <c r="N1453" s="112"/>
      <c r="O1453" s="111"/>
      <c r="P1453" s="312">
        <v>0</v>
      </c>
      <c r="Q1453" s="288">
        <f t="shared" si="69"/>
        <v>0</v>
      </c>
      <c r="R1453" s="118"/>
      <c r="S1453" s="283">
        <v>2016</v>
      </c>
      <c r="T1453" s="288">
        <f t="shared" si="70"/>
        <v>1839392</v>
      </c>
    </row>
    <row r="1454" spans="2:20">
      <c r="B1454" s="387">
        <v>40051678</v>
      </c>
      <c r="C1454" s="114"/>
      <c r="D1454" s="111" t="s">
        <v>2076</v>
      </c>
      <c r="E1454" s="111" t="s">
        <v>2092</v>
      </c>
      <c r="F1454" s="111"/>
      <c r="G1454" s="110"/>
      <c r="H1454" s="122"/>
      <c r="I1454" s="280"/>
      <c r="J1454" s="72"/>
      <c r="K1454" s="271">
        <v>819817.14</v>
      </c>
      <c r="L1454" s="111"/>
      <c r="M1454" s="73"/>
      <c r="N1454" s="112"/>
      <c r="O1454" s="111"/>
      <c r="P1454" s="312">
        <v>0</v>
      </c>
      <c r="Q1454" s="288">
        <f t="shared" si="69"/>
        <v>0</v>
      </c>
      <c r="R1454" s="118"/>
      <c r="S1454" s="283">
        <v>2016</v>
      </c>
      <c r="T1454" s="288">
        <f t="shared" si="70"/>
        <v>888345</v>
      </c>
    </row>
    <row r="1455" spans="2:20">
      <c r="B1455" s="387">
        <v>40051679</v>
      </c>
      <c r="C1455" s="114"/>
      <c r="D1455" s="111" t="s">
        <v>2076</v>
      </c>
      <c r="E1455" s="111" t="s">
        <v>2093</v>
      </c>
      <c r="F1455" s="111"/>
      <c r="G1455" s="110"/>
      <c r="H1455" s="122"/>
      <c r="I1455" s="280"/>
      <c r="J1455" s="72"/>
      <c r="K1455" s="271">
        <v>1105162.98</v>
      </c>
      <c r="L1455" s="111"/>
      <c r="M1455" s="73"/>
      <c r="N1455" s="112"/>
      <c r="O1455" s="111"/>
      <c r="P1455" s="312">
        <v>0</v>
      </c>
      <c r="Q1455" s="288">
        <f t="shared" si="69"/>
        <v>0</v>
      </c>
      <c r="R1455" s="118"/>
      <c r="S1455" s="283">
        <v>2016</v>
      </c>
      <c r="T1455" s="288">
        <f t="shared" si="70"/>
        <v>1197543</v>
      </c>
    </row>
    <row r="1456" spans="2:20">
      <c r="B1456" s="387">
        <v>40051680</v>
      </c>
      <c r="C1456" s="114"/>
      <c r="D1456" s="111" t="s">
        <v>2076</v>
      </c>
      <c r="E1456" s="111" t="s">
        <v>2094</v>
      </c>
      <c r="F1456" s="111"/>
      <c r="G1456" s="110"/>
      <c r="H1456" s="122"/>
      <c r="I1456" s="280"/>
      <c r="J1456" s="72"/>
      <c r="K1456" s="271">
        <v>1193394.92</v>
      </c>
      <c r="L1456" s="111"/>
      <c r="M1456" s="73"/>
      <c r="N1456" s="112"/>
      <c r="O1456" s="111"/>
      <c r="P1456" s="312">
        <v>0</v>
      </c>
      <c r="Q1456" s="288">
        <f t="shared" si="69"/>
        <v>0</v>
      </c>
      <c r="R1456" s="118"/>
      <c r="S1456" s="283">
        <v>2016</v>
      </c>
      <c r="T1456" s="288">
        <f t="shared" si="70"/>
        <v>1293150</v>
      </c>
    </row>
    <row r="1457" spans="2:20">
      <c r="B1457" s="387">
        <v>40051681</v>
      </c>
      <c r="C1457" s="114"/>
      <c r="D1457" s="111" t="s">
        <v>2076</v>
      </c>
      <c r="E1457" s="111" t="s">
        <v>2095</v>
      </c>
      <c r="F1457" s="111"/>
      <c r="G1457" s="110"/>
      <c r="H1457" s="122"/>
      <c r="I1457" s="280"/>
      <c r="J1457" s="72"/>
      <c r="K1457" s="271">
        <v>1667020.42</v>
      </c>
      <c r="L1457" s="111"/>
      <c r="M1457" s="73"/>
      <c r="N1457" s="112"/>
      <c r="O1457" s="111"/>
      <c r="P1457" s="312">
        <v>0</v>
      </c>
      <c r="Q1457" s="288">
        <f t="shared" si="69"/>
        <v>0</v>
      </c>
      <c r="R1457" s="118"/>
      <c r="S1457" s="283">
        <v>2016</v>
      </c>
      <c r="T1457" s="288">
        <f t="shared" si="70"/>
        <v>1806366</v>
      </c>
    </row>
    <row r="1458" spans="2:20">
      <c r="B1458" s="387">
        <v>40051682</v>
      </c>
      <c r="C1458" s="114"/>
      <c r="D1458" s="111" t="s">
        <v>2076</v>
      </c>
      <c r="E1458" s="111" t="s">
        <v>2096</v>
      </c>
      <c r="F1458" s="111"/>
      <c r="G1458" s="110"/>
      <c r="H1458" s="122"/>
      <c r="I1458" s="280"/>
      <c r="J1458" s="72"/>
      <c r="K1458" s="271">
        <v>530275.04</v>
      </c>
      <c r="L1458" s="111"/>
      <c r="M1458" s="73"/>
      <c r="N1458" s="112"/>
      <c r="O1458" s="111"/>
      <c r="P1458" s="312">
        <v>0</v>
      </c>
      <c r="Q1458" s="288">
        <f t="shared" si="69"/>
        <v>0</v>
      </c>
      <c r="R1458" s="118"/>
      <c r="S1458" s="283">
        <v>2016</v>
      </c>
      <c r="T1458" s="288">
        <f t="shared" si="70"/>
        <v>574601</v>
      </c>
    </row>
    <row r="1459" spans="2:20">
      <c r="B1459" s="387">
        <v>40051683</v>
      </c>
      <c r="C1459" s="114"/>
      <c r="D1459" s="111" t="s">
        <v>2076</v>
      </c>
      <c r="E1459" s="111" t="s">
        <v>2097</v>
      </c>
      <c r="F1459" s="111"/>
      <c r="G1459" s="110"/>
      <c r="H1459" s="122"/>
      <c r="I1459" s="280"/>
      <c r="J1459" s="72"/>
      <c r="K1459" s="271">
        <v>1033605.66</v>
      </c>
      <c r="L1459" s="111"/>
      <c r="M1459" s="73"/>
      <c r="N1459" s="112"/>
      <c r="O1459" s="111"/>
      <c r="P1459" s="312">
        <v>0</v>
      </c>
      <c r="Q1459" s="288">
        <f t="shared" si="69"/>
        <v>0</v>
      </c>
      <c r="R1459" s="118"/>
      <c r="S1459" s="283">
        <v>2016</v>
      </c>
      <c r="T1459" s="288">
        <f t="shared" si="70"/>
        <v>1120004</v>
      </c>
    </row>
    <row r="1460" spans="2:20">
      <c r="B1460" s="387">
        <v>40051684</v>
      </c>
      <c r="C1460" s="114"/>
      <c r="D1460" s="111" t="s">
        <v>2076</v>
      </c>
      <c r="E1460" s="111" t="s">
        <v>2098</v>
      </c>
      <c r="F1460" s="111"/>
      <c r="G1460" s="110"/>
      <c r="H1460" s="122"/>
      <c r="I1460" s="280"/>
      <c r="J1460" s="72"/>
      <c r="K1460" s="271">
        <v>1686897.45</v>
      </c>
      <c r="L1460" s="111"/>
      <c r="M1460" s="73"/>
      <c r="N1460" s="112"/>
      <c r="O1460" s="111"/>
      <c r="P1460" s="312">
        <v>0</v>
      </c>
      <c r="Q1460" s="288">
        <f t="shared" si="69"/>
        <v>0</v>
      </c>
      <c r="R1460" s="118"/>
      <c r="S1460" s="283">
        <v>2016</v>
      </c>
      <c r="T1460" s="288">
        <f t="shared" si="70"/>
        <v>1827905</v>
      </c>
    </row>
    <row r="1461" spans="2:20">
      <c r="B1461" s="387">
        <v>40051685</v>
      </c>
      <c r="C1461" s="114"/>
      <c r="D1461" s="111" t="s">
        <v>2076</v>
      </c>
      <c r="E1461" s="111" t="s">
        <v>2099</v>
      </c>
      <c r="F1461" s="111"/>
      <c r="G1461" s="110"/>
      <c r="H1461" s="122"/>
      <c r="I1461" s="280"/>
      <c r="J1461" s="72"/>
      <c r="K1461" s="271">
        <v>792431.01</v>
      </c>
      <c r="L1461" s="111"/>
      <c r="M1461" s="73"/>
      <c r="N1461" s="112"/>
      <c r="O1461" s="111"/>
      <c r="P1461" s="312">
        <v>0</v>
      </c>
      <c r="Q1461" s="288">
        <f t="shared" si="69"/>
        <v>0</v>
      </c>
      <c r="R1461" s="118"/>
      <c r="S1461" s="283">
        <v>2016</v>
      </c>
      <c r="T1461" s="288">
        <f t="shared" si="70"/>
        <v>858670</v>
      </c>
    </row>
    <row r="1462" spans="2:20">
      <c r="B1462" s="387">
        <v>40051686</v>
      </c>
      <c r="C1462" s="114"/>
      <c r="D1462" s="111" t="s">
        <v>2076</v>
      </c>
      <c r="E1462" s="111" t="s">
        <v>2100</v>
      </c>
      <c r="F1462" s="111"/>
      <c r="G1462" s="110"/>
      <c r="H1462" s="122"/>
      <c r="I1462" s="280"/>
      <c r="J1462" s="72"/>
      <c r="K1462" s="271">
        <v>1163910.6499999999</v>
      </c>
      <c r="L1462" s="111"/>
      <c r="M1462" s="73"/>
      <c r="N1462" s="112"/>
      <c r="O1462" s="111"/>
      <c r="P1462" s="312">
        <v>0</v>
      </c>
      <c r="Q1462" s="288">
        <f t="shared" si="69"/>
        <v>0</v>
      </c>
      <c r="R1462" s="118"/>
      <c r="S1462" s="283">
        <v>2016</v>
      </c>
      <c r="T1462" s="288">
        <f t="shared" si="70"/>
        <v>1261202</v>
      </c>
    </row>
    <row r="1463" spans="2:20">
      <c r="B1463" s="387">
        <v>40051687</v>
      </c>
      <c r="C1463" s="114"/>
      <c r="D1463" s="111" t="s">
        <v>2076</v>
      </c>
      <c r="E1463" s="111" t="s">
        <v>2101</v>
      </c>
      <c r="F1463" s="111"/>
      <c r="G1463" s="110"/>
      <c r="H1463" s="122"/>
      <c r="I1463" s="280"/>
      <c r="J1463" s="72"/>
      <c r="K1463" s="271">
        <v>1734668.58</v>
      </c>
      <c r="L1463" s="111"/>
      <c r="M1463" s="73"/>
      <c r="N1463" s="112"/>
      <c r="O1463" s="111"/>
      <c r="P1463" s="312">
        <v>0</v>
      </c>
      <c r="Q1463" s="288">
        <f t="shared" si="69"/>
        <v>0</v>
      </c>
      <c r="R1463" s="118"/>
      <c r="S1463" s="283">
        <v>2016</v>
      </c>
      <c r="T1463" s="288">
        <f t="shared" si="70"/>
        <v>1879669</v>
      </c>
    </row>
    <row r="1464" spans="2:20">
      <c r="B1464" s="387">
        <v>40052037</v>
      </c>
      <c r="C1464" s="114"/>
      <c r="D1464" s="111" t="s">
        <v>2076</v>
      </c>
      <c r="E1464" s="111" t="s">
        <v>2102</v>
      </c>
      <c r="F1464" s="111"/>
      <c r="G1464" s="110"/>
      <c r="H1464" s="122"/>
      <c r="I1464" s="280"/>
      <c r="J1464" s="72"/>
      <c r="K1464" s="271">
        <v>2586093.0499999998</v>
      </c>
      <c r="L1464" s="111"/>
      <c r="M1464" s="73"/>
      <c r="N1464" s="112"/>
      <c r="O1464" s="111"/>
      <c r="P1464" s="312">
        <v>0</v>
      </c>
      <c r="Q1464" s="288">
        <f t="shared" si="69"/>
        <v>0</v>
      </c>
      <c r="R1464" s="118"/>
      <c r="S1464" s="283">
        <v>2016</v>
      </c>
      <c r="T1464" s="288">
        <f t="shared" si="70"/>
        <v>2802264</v>
      </c>
    </row>
    <row r="1465" spans="2:20">
      <c r="B1465" s="387">
        <v>40052038</v>
      </c>
      <c r="C1465" s="114"/>
      <c r="D1465" s="111" t="s">
        <v>2076</v>
      </c>
      <c r="E1465" s="111" t="s">
        <v>2103</v>
      </c>
      <c r="F1465" s="111"/>
      <c r="G1465" s="110"/>
      <c r="H1465" s="122"/>
      <c r="I1465" s="280"/>
      <c r="J1465" s="72"/>
      <c r="K1465" s="271">
        <v>258666.44</v>
      </c>
      <c r="L1465" s="111"/>
      <c r="M1465" s="73"/>
      <c r="N1465" s="112"/>
      <c r="O1465" s="111"/>
      <c r="P1465" s="312">
        <v>0</v>
      </c>
      <c r="Q1465" s="288">
        <f t="shared" si="69"/>
        <v>0</v>
      </c>
      <c r="R1465" s="118"/>
      <c r="S1465" s="283">
        <v>2016</v>
      </c>
      <c r="T1465" s="288">
        <f t="shared" si="70"/>
        <v>280288</v>
      </c>
    </row>
    <row r="1466" spans="2:20">
      <c r="B1466" s="387">
        <v>40052334</v>
      </c>
      <c r="C1466" s="114"/>
      <c r="D1466" s="111" t="s">
        <v>2076</v>
      </c>
      <c r="E1466" s="111" t="s">
        <v>2104</v>
      </c>
      <c r="F1466" s="111"/>
      <c r="G1466" s="110"/>
      <c r="H1466" s="122"/>
      <c r="I1466" s="280"/>
      <c r="J1466" s="72"/>
      <c r="K1466" s="271">
        <v>384289.29</v>
      </c>
      <c r="L1466" s="111"/>
      <c r="M1466" s="73"/>
      <c r="N1466" s="112"/>
      <c r="O1466" s="111"/>
      <c r="P1466" s="312">
        <v>0</v>
      </c>
      <c r="Q1466" s="288">
        <f t="shared" si="69"/>
        <v>0</v>
      </c>
      <c r="R1466" s="118"/>
      <c r="S1466" s="283">
        <v>2016</v>
      </c>
      <c r="T1466" s="288">
        <f t="shared" si="70"/>
        <v>416412</v>
      </c>
    </row>
    <row r="1467" spans="2:20">
      <c r="B1467" s="387">
        <v>40052335</v>
      </c>
      <c r="C1467" s="114"/>
      <c r="D1467" s="111" t="s">
        <v>2076</v>
      </c>
      <c r="E1467" s="111" t="s">
        <v>2105</v>
      </c>
      <c r="F1467" s="111"/>
      <c r="G1467" s="110"/>
      <c r="H1467" s="122"/>
      <c r="I1467" s="280"/>
      <c r="J1467" s="72"/>
      <c r="K1467" s="271">
        <v>1822061.27</v>
      </c>
      <c r="L1467" s="111"/>
      <c r="M1467" s="73"/>
      <c r="N1467" s="112"/>
      <c r="O1467" s="111"/>
      <c r="P1467" s="312">
        <v>0</v>
      </c>
      <c r="Q1467" s="288">
        <f t="shared" si="69"/>
        <v>0</v>
      </c>
      <c r="R1467" s="118"/>
      <c r="S1467" s="283">
        <v>2016</v>
      </c>
      <c r="T1467" s="288">
        <f t="shared" si="70"/>
        <v>1974367</v>
      </c>
    </row>
    <row r="1468" spans="2:20">
      <c r="B1468" s="387">
        <v>40067028</v>
      </c>
      <c r="C1468" s="114"/>
      <c r="D1468" s="111" t="s">
        <v>2077</v>
      </c>
      <c r="E1468" s="111" t="s">
        <v>2106</v>
      </c>
      <c r="F1468" s="111"/>
      <c r="G1468" s="110"/>
      <c r="H1468" s="122"/>
      <c r="I1468" s="280"/>
      <c r="J1468" s="72"/>
      <c r="K1468" s="271">
        <v>73843930.689999998</v>
      </c>
      <c r="L1468" s="111"/>
      <c r="M1468" s="73"/>
      <c r="N1468" s="112"/>
      <c r="O1468" s="111"/>
      <c r="P1468" s="312">
        <v>0</v>
      </c>
      <c r="Q1468" s="288">
        <f t="shared" si="69"/>
        <v>0</v>
      </c>
      <c r="R1468" s="118"/>
      <c r="S1468" s="283">
        <v>2016</v>
      </c>
      <c r="T1468" s="288">
        <f t="shared" si="70"/>
        <v>80016519</v>
      </c>
    </row>
    <row r="1469" spans="2:20">
      <c r="B1469" s="387">
        <v>40067029</v>
      </c>
      <c r="C1469" s="114"/>
      <c r="D1469" s="111" t="s">
        <v>2078</v>
      </c>
      <c r="E1469" s="111" t="s">
        <v>2106</v>
      </c>
      <c r="F1469" s="111"/>
      <c r="G1469" s="110"/>
      <c r="H1469" s="122"/>
      <c r="I1469" s="280"/>
      <c r="J1469" s="72"/>
      <c r="K1469" s="271">
        <v>4394925.79</v>
      </c>
      <c r="L1469" s="111"/>
      <c r="M1469" s="73"/>
      <c r="N1469" s="112"/>
      <c r="O1469" s="111"/>
      <c r="P1469" s="312">
        <v>0</v>
      </c>
      <c r="Q1469" s="288">
        <f t="shared" si="69"/>
        <v>0</v>
      </c>
      <c r="R1469" s="118"/>
      <c r="S1469" s="283">
        <v>2016</v>
      </c>
      <c r="T1469" s="288">
        <f t="shared" si="70"/>
        <v>4762296</v>
      </c>
    </row>
    <row r="1470" spans="2:20">
      <c r="B1470" s="387"/>
      <c r="C1470" s="114" t="s">
        <v>2110</v>
      </c>
      <c r="D1470" s="111" t="s">
        <v>2225</v>
      </c>
      <c r="E1470" t="s">
        <v>2225</v>
      </c>
      <c r="F1470" s="111" t="s">
        <v>2184</v>
      </c>
      <c r="G1470" s="110"/>
      <c r="H1470" s="122"/>
      <c r="I1470" s="280"/>
      <c r="J1470" s="72"/>
      <c r="K1470" s="314">
        <v>268378</v>
      </c>
      <c r="L1470" s="111"/>
      <c r="M1470" s="73"/>
      <c r="N1470" s="112"/>
      <c r="O1470" s="111"/>
      <c r="P1470" s="312">
        <v>0</v>
      </c>
      <c r="Q1470" s="288">
        <f t="shared" si="69"/>
        <v>0</v>
      </c>
      <c r="R1470" s="383">
        <v>19786</v>
      </c>
      <c r="S1470" s="283">
        <v>2016</v>
      </c>
      <c r="T1470" s="288">
        <f t="shared" si="70"/>
        <v>312286</v>
      </c>
    </row>
    <row r="1471" spans="2:20">
      <c r="B1471" s="387"/>
      <c r="C1471" s="114" t="s">
        <v>2149</v>
      </c>
      <c r="D1471" s="111" t="s">
        <v>2224</v>
      </c>
      <c r="E1471" t="s">
        <v>2224</v>
      </c>
      <c r="F1471" s="111" t="s">
        <v>2222</v>
      </c>
      <c r="G1471" s="110"/>
      <c r="H1471" s="122"/>
      <c r="I1471" s="280"/>
      <c r="J1471" s="72"/>
      <c r="K1471" s="314">
        <v>652613</v>
      </c>
      <c r="L1471" s="111"/>
      <c r="M1471" s="73"/>
      <c r="N1471" s="112"/>
      <c r="O1471" s="111"/>
      <c r="P1471" s="312">
        <v>0</v>
      </c>
      <c r="Q1471" s="288">
        <f t="shared" si="69"/>
        <v>0</v>
      </c>
      <c r="R1471" s="383">
        <v>630986</v>
      </c>
      <c r="S1471" s="283">
        <v>2016</v>
      </c>
      <c r="T1471" s="288">
        <f t="shared" si="70"/>
        <v>1392008</v>
      </c>
    </row>
    <row r="1472" spans="2:20">
      <c r="B1472" s="387"/>
      <c r="C1472" s="114" t="s">
        <v>2108</v>
      </c>
      <c r="D1472" s="111" t="s">
        <v>2224</v>
      </c>
      <c r="E1472" t="s">
        <v>2224</v>
      </c>
      <c r="F1472" s="111" t="s">
        <v>2182</v>
      </c>
      <c r="G1472" s="110"/>
      <c r="H1472" s="122"/>
      <c r="I1472" s="280"/>
      <c r="J1472" s="72"/>
      <c r="K1472" s="314">
        <v>385470</v>
      </c>
      <c r="L1472" s="114"/>
      <c r="M1472" s="73"/>
      <c r="N1472" s="112"/>
      <c r="O1472" s="111"/>
      <c r="P1472" s="312">
        <v>0</v>
      </c>
      <c r="Q1472" s="288">
        <f t="shared" si="69"/>
        <v>0</v>
      </c>
      <c r="R1472" s="383">
        <v>36775</v>
      </c>
      <c r="S1472" s="283">
        <v>2016</v>
      </c>
      <c r="T1472" s="288">
        <f t="shared" si="70"/>
        <v>457605</v>
      </c>
    </row>
    <row r="1473" spans="1:20">
      <c r="B1473" s="387"/>
      <c r="C1473" s="114" t="s">
        <v>2123</v>
      </c>
      <c r="D1473" s="111" t="s">
        <v>2224</v>
      </c>
      <c r="E1473" t="s">
        <v>2224</v>
      </c>
      <c r="F1473" s="111" t="s">
        <v>2196</v>
      </c>
      <c r="G1473" s="110"/>
      <c r="H1473" s="114"/>
      <c r="I1473" s="280"/>
      <c r="J1473" s="72"/>
      <c r="K1473" s="314">
        <v>460744</v>
      </c>
      <c r="L1473" s="114"/>
      <c r="M1473" s="114"/>
      <c r="N1473" s="112"/>
      <c r="O1473" s="111"/>
      <c r="P1473" s="312">
        <v>0</v>
      </c>
      <c r="Q1473" s="288">
        <f t="shared" si="69"/>
        <v>0</v>
      </c>
      <c r="R1473" s="383">
        <v>2058570</v>
      </c>
      <c r="S1473" s="283">
        <v>2016</v>
      </c>
      <c r="T1473" s="288">
        <f t="shared" si="70"/>
        <v>2733535</v>
      </c>
    </row>
    <row r="1474" spans="1:20">
      <c r="B1474" s="387"/>
      <c r="C1474" s="114" t="s">
        <v>2310</v>
      </c>
      <c r="D1474" s="111" t="s">
        <v>2226</v>
      </c>
      <c r="E1474" t="s">
        <v>2226</v>
      </c>
      <c r="F1474" s="111" t="s">
        <v>2319</v>
      </c>
      <c r="G1474" s="110"/>
      <c r="H1474" s="114"/>
      <c r="I1474" s="280"/>
      <c r="J1474" s="72"/>
      <c r="K1474" s="314">
        <v>41650673</v>
      </c>
      <c r="L1474" s="114"/>
      <c r="M1474" s="114"/>
      <c r="N1474" s="112"/>
      <c r="O1474" s="114"/>
      <c r="P1474" s="312">
        <v>0</v>
      </c>
      <c r="Q1474" s="288">
        <f t="shared" si="69"/>
        <v>0</v>
      </c>
      <c r="R1474" s="267"/>
      <c r="S1474" s="283">
        <v>2016</v>
      </c>
      <c r="T1474" s="288">
        <f t="shared" si="70"/>
        <v>45132238</v>
      </c>
    </row>
    <row r="1475" spans="1:20">
      <c r="B1475" s="387"/>
      <c r="C1475" s="114" t="s">
        <v>2109</v>
      </c>
      <c r="D1475" s="111" t="s">
        <v>2224</v>
      </c>
      <c r="E1475" t="s">
        <v>2224</v>
      </c>
      <c r="F1475" s="111" t="s">
        <v>2183</v>
      </c>
      <c r="G1475" s="110"/>
      <c r="H1475" s="114"/>
      <c r="I1475" s="280"/>
      <c r="J1475" s="72"/>
      <c r="K1475" s="314">
        <v>207675.35060378895</v>
      </c>
      <c r="L1475" s="114"/>
      <c r="M1475" s="114"/>
      <c r="N1475" s="112"/>
      <c r="O1475" s="114"/>
      <c r="P1475" s="312">
        <v>0</v>
      </c>
      <c r="Q1475" s="288">
        <f t="shared" si="69"/>
        <v>0</v>
      </c>
      <c r="R1475" s="267"/>
      <c r="S1475" s="283">
        <v>2016</v>
      </c>
      <c r="T1475" s="288">
        <f t="shared" si="70"/>
        <v>225035</v>
      </c>
    </row>
    <row r="1476" spans="1:20">
      <c r="B1476" s="387"/>
      <c r="C1476" s="114" t="s">
        <v>2118</v>
      </c>
      <c r="D1476" s="111" t="s">
        <v>2224</v>
      </c>
      <c r="E1476" t="s">
        <v>2224</v>
      </c>
      <c r="F1476" s="111" t="s">
        <v>2191</v>
      </c>
      <c r="G1476" s="110"/>
      <c r="H1476" s="114"/>
      <c r="I1476" s="280"/>
      <c r="J1476" s="72"/>
      <c r="K1476" s="314">
        <v>714945.95303117775</v>
      </c>
      <c r="L1476" s="114"/>
      <c r="M1476" s="114"/>
      <c r="N1476" s="112"/>
      <c r="O1476" s="114"/>
      <c r="P1476" s="312">
        <v>0</v>
      </c>
      <c r="Q1476" s="288">
        <f t="shared" si="69"/>
        <v>0</v>
      </c>
      <c r="R1476" s="267"/>
      <c r="S1476" s="283">
        <v>2016</v>
      </c>
      <c r="T1476" s="288">
        <f t="shared" si="70"/>
        <v>774708</v>
      </c>
    </row>
    <row r="1477" spans="1:20">
      <c r="B1477" s="387"/>
      <c r="C1477" s="114" t="s">
        <v>2126</v>
      </c>
      <c r="D1477" s="111" t="s">
        <v>2225</v>
      </c>
      <c r="E1477" t="s">
        <v>2225</v>
      </c>
      <c r="F1477" s="111" t="s">
        <v>2199</v>
      </c>
      <c r="G1477" s="110"/>
      <c r="H1477" s="114"/>
      <c r="I1477" s="280"/>
      <c r="J1477" s="72"/>
      <c r="K1477" s="314">
        <v>1026596.9234254103</v>
      </c>
      <c r="L1477" s="114"/>
      <c r="M1477" s="114"/>
      <c r="N1477" s="112"/>
      <c r="O1477" s="114"/>
      <c r="P1477" s="312">
        <v>0</v>
      </c>
      <c r="Q1477" s="288">
        <f t="shared" si="69"/>
        <v>0</v>
      </c>
      <c r="R1477" s="267"/>
      <c r="S1477" s="283">
        <v>2016</v>
      </c>
      <c r="T1477" s="288">
        <f t="shared" si="70"/>
        <v>1112410</v>
      </c>
    </row>
    <row r="1478" spans="1:20">
      <c r="B1478" s="387"/>
      <c r="C1478" s="114" t="s">
        <v>2117</v>
      </c>
      <c r="D1478" s="111" t="s">
        <v>2224</v>
      </c>
      <c r="E1478" t="s">
        <v>2224</v>
      </c>
      <c r="F1478" s="111" t="s">
        <v>2190</v>
      </c>
      <c r="G1478" s="110"/>
      <c r="H1478" s="114"/>
      <c r="I1478" s="280"/>
      <c r="J1478" s="72"/>
      <c r="K1478" s="314">
        <v>420372.55957637931</v>
      </c>
      <c r="L1478" s="114"/>
      <c r="M1478" s="114"/>
      <c r="N1478" s="112"/>
      <c r="O1478" s="114"/>
      <c r="P1478" s="312">
        <v>0</v>
      </c>
      <c r="Q1478" s="288">
        <f t="shared" si="69"/>
        <v>0</v>
      </c>
      <c r="R1478" s="267"/>
      <c r="S1478" s="283">
        <v>2016</v>
      </c>
      <c r="T1478" s="288">
        <f t="shared" si="70"/>
        <v>455511</v>
      </c>
    </row>
    <row r="1479" spans="1:20">
      <c r="B1479" s="387"/>
      <c r="C1479" s="114" t="s">
        <v>2127</v>
      </c>
      <c r="D1479" s="111" t="s">
        <v>2224</v>
      </c>
      <c r="E1479" t="s">
        <v>2224</v>
      </c>
      <c r="F1479" s="111" t="s">
        <v>2200</v>
      </c>
      <c r="G1479" s="110"/>
      <c r="H1479" s="114"/>
      <c r="I1479" s="280"/>
      <c r="J1479" s="72"/>
      <c r="K1479" s="314">
        <v>2830629.0245151962</v>
      </c>
      <c r="L1479" s="114"/>
      <c r="M1479" s="114"/>
      <c r="N1479" s="112"/>
      <c r="O1479" s="114"/>
      <c r="P1479" s="312">
        <v>0</v>
      </c>
      <c r="Q1479" s="288">
        <f t="shared" si="69"/>
        <v>0</v>
      </c>
      <c r="R1479" s="267"/>
      <c r="S1479" s="283">
        <v>2016</v>
      </c>
      <c r="T1479" s="288">
        <f t="shared" si="70"/>
        <v>3067240</v>
      </c>
    </row>
    <row r="1480" spans="1:20" ht="14.4" thickBot="1">
      <c r="B1480" s="388"/>
      <c r="C1480" s="150" t="s">
        <v>2146</v>
      </c>
      <c r="D1480" s="249" t="s">
        <v>2219</v>
      </c>
      <c r="E1480" s="268" t="s">
        <v>2219</v>
      </c>
      <c r="F1480" s="249" t="s">
        <v>2219</v>
      </c>
      <c r="G1480" s="180"/>
      <c r="H1480" s="150"/>
      <c r="I1480" s="281"/>
      <c r="J1480" s="151"/>
      <c r="K1480" s="315">
        <v>772976.07885089947</v>
      </c>
      <c r="L1480" s="150"/>
      <c r="M1480" s="150"/>
      <c r="N1480" s="250"/>
      <c r="O1480" s="150"/>
      <c r="P1480" s="313">
        <v>0</v>
      </c>
      <c r="Q1480" s="289">
        <f t="shared" si="69"/>
        <v>0</v>
      </c>
      <c r="R1480" s="269"/>
      <c r="S1480" s="284">
        <v>2016</v>
      </c>
      <c r="T1480" s="497">
        <f t="shared" si="70"/>
        <v>837589</v>
      </c>
    </row>
    <row r="1481" spans="1:20" ht="14.4" thickBot="1">
      <c r="A1481" s="496"/>
      <c r="T1481" s="498">
        <f>SUBTOTAL(109,tblExistPathway[Current Replacement Cost])</f>
        <v>291813148</v>
      </c>
    </row>
  </sheetData>
  <mergeCells count="6">
    <mergeCell ref="R10:S10"/>
    <mergeCell ref="B7:C7"/>
    <mergeCell ref="B10:F10"/>
    <mergeCell ref="G10:H10"/>
    <mergeCell ref="I10:M10"/>
    <mergeCell ref="N10:Q10"/>
  </mergeCells>
  <conditionalFormatting sqref="G13:G38">
    <cfRule type="expression" dxfId="53" priority="147">
      <formula>#REF!="Active"</formula>
    </cfRule>
  </conditionalFormatting>
  <conditionalFormatting sqref="G61:G276">
    <cfRule type="expression" dxfId="52" priority="127">
      <formula>#REF!="Active"</formula>
    </cfRule>
  </conditionalFormatting>
  <conditionalFormatting sqref="G322:G368">
    <cfRule type="expression" dxfId="51" priority="119">
      <formula>#REF!="Active"</formula>
    </cfRule>
  </conditionalFormatting>
  <conditionalFormatting sqref="G458:G504">
    <cfRule type="expression" dxfId="50" priority="107">
      <formula>#REF!="Active"</formula>
    </cfRule>
  </conditionalFormatting>
  <conditionalFormatting sqref="G549:G571">
    <cfRule type="expression" dxfId="49" priority="101">
      <formula>#REF!="Active"</formula>
    </cfRule>
  </conditionalFormatting>
  <conditionalFormatting sqref="G636:G684">
    <cfRule type="expression" dxfId="48" priority="91">
      <formula>#REF!="Active"</formula>
    </cfRule>
  </conditionalFormatting>
  <conditionalFormatting sqref="G753:G775">
    <cfRule type="expression" dxfId="47" priority="83">
      <formula>#REF!="Active"</formula>
    </cfRule>
  </conditionalFormatting>
  <conditionalFormatting sqref="G797:G820">
    <cfRule type="expression" dxfId="46" priority="79">
      <formula>#REF!="Active"</formula>
    </cfRule>
  </conditionalFormatting>
  <conditionalFormatting sqref="G863:G886">
    <cfRule type="expression" dxfId="45" priority="73">
      <formula>#REF!="Active"</formula>
    </cfRule>
  </conditionalFormatting>
  <conditionalFormatting sqref="G930:G953">
    <cfRule type="expression" dxfId="44" priority="67">
      <formula>#REF!="Active"</formula>
    </cfRule>
  </conditionalFormatting>
  <conditionalFormatting sqref="G976:G1000">
    <cfRule type="expression" dxfId="43" priority="63">
      <formula>#REF!="Active"</formula>
    </cfRule>
  </conditionalFormatting>
  <conditionalFormatting sqref="G1066:G1112">
    <cfRule type="expression" dxfId="42" priority="53">
      <formula>#REF!="Active"</formula>
    </cfRule>
  </conditionalFormatting>
  <conditionalFormatting sqref="G1135:G1158">
    <cfRule type="expression" dxfId="41" priority="49">
      <formula>#REF!="Active"</formula>
    </cfRule>
  </conditionalFormatting>
  <conditionalFormatting sqref="G1205:G1228">
    <cfRule type="expression" dxfId="40" priority="43">
      <formula>#REF!="Active"</formula>
    </cfRule>
  </conditionalFormatting>
  <conditionalFormatting sqref="G1275:G1321">
    <cfRule type="expression" dxfId="39" priority="35">
      <formula>#REF!="Active"</formula>
    </cfRule>
  </conditionalFormatting>
  <conditionalFormatting sqref="G1343:G1389">
    <cfRule type="expression" dxfId="38" priority="29">
      <formula>#REF!="Active"</formula>
    </cfRule>
  </conditionalFormatting>
  <conditionalFormatting sqref="G1458:G1480">
    <cfRule type="expression" dxfId="37" priority="3">
      <formula>#REF!="Active"</formula>
    </cfRule>
  </conditionalFormatting>
  <conditionalFormatting sqref="G39:H60 G277:H321 G369:H457 G505:H548 G572:H635 G685:H752 G776:H796 G821:H862 G887:H929 G954:H975 G1001:H1065 G1113:H1134 G1159:H1204 G1229:H1274 G1322:H1342 G1390:H1457 H1458:H1472">
    <cfRule type="expression" dxfId="36" priority="149">
      <formula>#REF!="Active"</formula>
    </cfRule>
  </conditionalFormatting>
  <conditionalFormatting sqref="H13:H38">
    <cfRule type="expression" dxfId="35" priority="148">
      <formula>#REF!="Active"</formula>
    </cfRule>
  </conditionalFormatting>
  <conditionalFormatting sqref="H61:H276">
    <cfRule type="expression" dxfId="34" priority="128">
      <formula>#REF!="Active"</formula>
    </cfRule>
  </conditionalFormatting>
  <conditionalFormatting sqref="H322:H368">
    <cfRule type="expression" dxfId="33" priority="120">
      <formula>#REF!="Active"</formula>
    </cfRule>
  </conditionalFormatting>
  <conditionalFormatting sqref="H458:H504">
    <cfRule type="expression" dxfId="32" priority="108">
      <formula>#REF!="Active"</formula>
    </cfRule>
  </conditionalFormatting>
  <conditionalFormatting sqref="H549:H571">
    <cfRule type="expression" dxfId="31" priority="102">
      <formula>#REF!="Active"</formula>
    </cfRule>
  </conditionalFormatting>
  <conditionalFormatting sqref="H636:H684">
    <cfRule type="expression" dxfId="30" priority="92">
      <formula>#REF!="Active"</formula>
    </cfRule>
  </conditionalFormatting>
  <conditionalFormatting sqref="H753:H775">
    <cfRule type="expression" dxfId="29" priority="84">
      <formula>#REF!="Active"</formula>
    </cfRule>
  </conditionalFormatting>
  <conditionalFormatting sqref="H797:H820">
    <cfRule type="expression" dxfId="28" priority="80">
      <formula>#REF!="Active"</formula>
    </cfRule>
  </conditionalFormatting>
  <conditionalFormatting sqref="H863:H886">
    <cfRule type="expression" dxfId="27" priority="74">
      <formula>#REF!="Active"</formula>
    </cfRule>
  </conditionalFormatting>
  <conditionalFormatting sqref="H930:H953">
    <cfRule type="expression" dxfId="26" priority="68">
      <formula>#REF!="Active"</formula>
    </cfRule>
  </conditionalFormatting>
  <conditionalFormatting sqref="H976:H1000">
    <cfRule type="expression" dxfId="25" priority="64">
      <formula>#REF!="Active"</formula>
    </cfRule>
  </conditionalFormatting>
  <conditionalFormatting sqref="H1066:H1112">
    <cfRule type="expression" dxfId="24" priority="54">
      <formula>#REF!="Active"</formula>
    </cfRule>
  </conditionalFormatting>
  <conditionalFormatting sqref="H1135:H1158">
    <cfRule type="expression" dxfId="23" priority="50">
      <formula>#REF!="Active"</formula>
    </cfRule>
  </conditionalFormatting>
  <conditionalFormatting sqref="H1205:H1228">
    <cfRule type="expression" dxfId="22" priority="44">
      <formula>#REF!="Active"</formula>
    </cfRule>
  </conditionalFormatting>
  <conditionalFormatting sqref="H1275:H1321">
    <cfRule type="expression" dxfId="21" priority="36">
      <formula>#REF!="Active"</formula>
    </cfRule>
  </conditionalFormatting>
  <conditionalFormatting sqref="H1343:H1389">
    <cfRule type="expression" dxfId="20" priority="30">
      <formula>#REF!="Active"</formula>
    </cfRule>
  </conditionalFormatting>
  <conditionalFormatting sqref="I13:I1480">
    <cfRule type="expression" dxfId="19" priority="4">
      <formula>#REF!="Active"</formula>
    </cfRule>
  </conditionalFormatting>
  <dataValidations count="1">
    <dataValidation type="list" allowBlank="1" showInputMessage="1" showErrorMessage="1" sqref="D7" xr:uid="{E5F92370-FEA2-B04A-8165-1866060368EC}">
      <formula1>LANDRATETYPE</formula1>
    </dataValidation>
  </dataValidations>
  <hyperlinks>
    <hyperlink ref="B4" location="'Navigation Pane'!A1" display="Return to Navigation Pane" xr:uid="{81496E15-9C54-462D-B3B4-83812B8322F8}"/>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Active and Public Transport Network - &amp;A
&amp;"Arial,Bold"&amp;K000000Effective 27th June 2025&amp;R&amp;"Arial,Regular"&amp;10Page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6DBC-2B00-3941-9D4D-6DD3415B6B77}">
  <sheetPr codeName="Sheet4"/>
  <dimension ref="A1:T43"/>
  <sheetViews>
    <sheetView tabSelected="1" zoomScale="70" zoomScaleNormal="70" workbookViewId="0">
      <selection activeCell="D8" sqref="D8:P9"/>
    </sheetView>
  </sheetViews>
  <sheetFormatPr defaultColWidth="9" defaultRowHeight="13.8"/>
  <cols>
    <col min="1" max="1" width="4.296875" style="30" customWidth="1"/>
    <col min="2" max="2" width="37.09765625" style="30" bestFit="1" customWidth="1"/>
    <col min="3" max="3" width="9.09765625" style="30" bestFit="1" customWidth="1"/>
    <col min="4" max="4" width="14.796875" style="30" customWidth="1"/>
    <col min="5" max="5" width="5.09765625" style="30" customWidth="1"/>
    <col min="6" max="6" width="45.09765625" style="30" customWidth="1"/>
    <col min="7" max="7" width="5.09765625" style="30" customWidth="1"/>
    <col min="8" max="8" width="12.09765625" style="106" bestFit="1" customWidth="1"/>
    <col min="9" max="9" width="5.09765625" style="30" customWidth="1"/>
    <col min="10" max="10" width="5.296875" style="30" bestFit="1" customWidth="1"/>
    <col min="11" max="11" width="22" style="116" bestFit="1" customWidth="1"/>
    <col min="12" max="12" width="5.09765625" style="30" customWidth="1"/>
    <col min="13" max="13" width="5.09765625" style="106" customWidth="1"/>
    <col min="14" max="14" width="17.296875" style="124" customWidth="1"/>
    <col min="15" max="15" width="5.296875" style="133" bestFit="1" customWidth="1"/>
    <col min="16" max="16" width="5.09765625" style="106" customWidth="1"/>
    <col min="17" max="17" width="5.296875" style="30" bestFit="1" customWidth="1"/>
    <col min="18" max="18" width="5.09765625" style="116" customWidth="1"/>
    <col min="19" max="19" width="5.09765625" style="135" customWidth="1"/>
    <col min="20" max="20" width="27.09765625" style="69" bestFit="1" customWidth="1"/>
    <col min="21" max="16384" width="9" style="30"/>
  </cols>
  <sheetData>
    <row r="1" spans="1:20" ht="14.4" thickBot="1">
      <c r="M1" s="30"/>
      <c r="O1" s="30"/>
    </row>
    <row r="2" spans="1:20" s="31" customFormat="1" ht="25.2" thickBot="1">
      <c r="B2" s="170" t="s">
        <v>106</v>
      </c>
      <c r="C2" s="104"/>
      <c r="D2" s="104"/>
      <c r="E2" s="104"/>
      <c r="F2" s="104"/>
      <c r="G2" s="104"/>
      <c r="H2" s="104"/>
      <c r="I2" s="104"/>
      <c r="J2" s="104"/>
      <c r="K2" s="104"/>
      <c r="L2" s="104"/>
      <c r="M2" s="104"/>
      <c r="N2" s="104"/>
      <c r="O2" s="104"/>
      <c r="P2" s="104"/>
      <c r="Q2" s="104"/>
      <c r="R2" s="126"/>
      <c r="S2" s="127"/>
      <c r="T2" s="272"/>
    </row>
    <row r="3" spans="1:20" s="31" customFormat="1" ht="25.5" customHeight="1" thickBot="1">
      <c r="B3" s="170" t="s">
        <v>2283</v>
      </c>
      <c r="C3" s="104"/>
      <c r="D3" s="104"/>
      <c r="E3" s="104"/>
      <c r="F3" s="104"/>
      <c r="G3" s="104"/>
      <c r="H3" s="104"/>
      <c r="I3" s="104"/>
      <c r="J3" s="104"/>
      <c r="K3" s="104"/>
      <c r="L3" s="104"/>
      <c r="M3" s="104"/>
      <c r="N3" s="104"/>
      <c r="O3" s="104"/>
      <c r="P3" s="104"/>
      <c r="Q3" s="104"/>
      <c r="R3" s="126"/>
      <c r="S3" s="127"/>
      <c r="T3" s="272"/>
    </row>
    <row r="4" spans="1:20" s="31" customFormat="1" ht="17.399999999999999" thickBot="1">
      <c r="A4" s="128"/>
      <c r="B4" s="412" t="s">
        <v>47</v>
      </c>
      <c r="C4" s="129"/>
      <c r="D4" s="129"/>
      <c r="H4" s="131"/>
      <c r="K4" s="126"/>
      <c r="M4" s="131"/>
      <c r="N4" s="167"/>
      <c r="O4" s="130"/>
      <c r="P4" s="131"/>
      <c r="R4" s="126"/>
      <c r="S4" s="127"/>
      <c r="T4" s="272"/>
    </row>
    <row r="5" spans="1:20" s="31" customFormat="1" ht="21" customHeight="1" thickBot="1">
      <c r="B5" s="171" t="s">
        <v>99</v>
      </c>
      <c r="C5" s="47"/>
      <c r="D5" s="47"/>
      <c r="E5" s="47"/>
      <c r="F5" s="47"/>
      <c r="G5" s="47"/>
      <c r="H5" s="168"/>
      <c r="I5" s="47"/>
      <c r="J5" s="47"/>
      <c r="K5" s="47"/>
      <c r="L5" s="47"/>
      <c r="M5" s="169"/>
      <c r="N5" s="47"/>
      <c r="O5" s="168"/>
      <c r="P5" s="47"/>
      <c r="Q5" s="47"/>
      <c r="R5" s="126"/>
      <c r="S5" s="127"/>
      <c r="T5" s="272"/>
    </row>
    <row r="6" spans="1:20" hidden="1">
      <c r="M6" s="30"/>
      <c r="N6" s="51"/>
      <c r="O6" s="30"/>
    </row>
    <row r="7" spans="1:20" ht="14.4" thickBot="1">
      <c r="N7" s="51"/>
    </row>
    <row r="8" spans="1:20" ht="14.4" thickBot="1">
      <c r="B8" s="586" t="s">
        <v>96</v>
      </c>
      <c r="C8" s="587"/>
      <c r="D8" s="172" t="s">
        <v>91</v>
      </c>
      <c r="N8" s="51"/>
    </row>
    <row r="9" spans="1:20" ht="14.4" thickBot="1">
      <c r="N9" s="51"/>
    </row>
    <row r="10" spans="1:20" ht="14.4" thickBot="1">
      <c r="B10" s="107"/>
      <c r="C10" s="2"/>
      <c r="D10" s="2"/>
      <c r="E10" s="2"/>
      <c r="F10" s="2"/>
      <c r="G10" s="2"/>
      <c r="H10" s="43" t="s">
        <v>38</v>
      </c>
      <c r="I10" s="2"/>
      <c r="J10" s="2"/>
      <c r="K10" s="117"/>
      <c r="L10" s="2"/>
      <c r="M10" s="43"/>
      <c r="N10" s="125"/>
      <c r="O10" s="42"/>
      <c r="P10" s="43"/>
      <c r="Q10" s="2"/>
      <c r="R10" s="117"/>
      <c r="S10" s="123"/>
      <c r="T10" s="295" t="s">
        <v>104</v>
      </c>
    </row>
    <row r="11" spans="1:20" ht="15.75" customHeight="1" thickBot="1">
      <c r="B11" s="579" t="s">
        <v>70</v>
      </c>
      <c r="C11" s="580"/>
      <c r="D11" s="580"/>
      <c r="E11" s="580"/>
      <c r="F11" s="580"/>
      <c r="G11" s="579" t="s">
        <v>73</v>
      </c>
      <c r="H11" s="583"/>
      <c r="I11" s="579"/>
      <c r="J11" s="580" t="s">
        <v>71</v>
      </c>
      <c r="K11" s="580"/>
      <c r="L11" s="580"/>
      <c r="M11" s="584"/>
      <c r="N11" s="579"/>
      <c r="O11" s="585" t="s">
        <v>87</v>
      </c>
      <c r="P11" s="580"/>
      <c r="Q11" s="580"/>
      <c r="R11" s="579"/>
      <c r="S11" s="580" t="s">
        <v>72</v>
      </c>
      <c r="T11" s="395" t="s">
        <v>64</v>
      </c>
    </row>
    <row r="12" spans="1:20" ht="106.35" customHeight="1" thickBot="1">
      <c r="B12" s="384" t="s">
        <v>32</v>
      </c>
      <c r="C12" s="354" t="s">
        <v>68</v>
      </c>
      <c r="D12" s="307" t="s">
        <v>37</v>
      </c>
      <c r="E12" s="307" t="s">
        <v>33</v>
      </c>
      <c r="F12" s="307" t="s">
        <v>34</v>
      </c>
      <c r="G12" s="307" t="s">
        <v>74</v>
      </c>
      <c r="H12" s="355" t="s">
        <v>95</v>
      </c>
      <c r="I12" s="356" t="s">
        <v>2426</v>
      </c>
      <c r="J12" s="310" t="s">
        <v>2457</v>
      </c>
      <c r="K12" s="308" t="s">
        <v>35</v>
      </c>
      <c r="L12" s="307" t="s">
        <v>85</v>
      </c>
      <c r="M12" s="357" t="s">
        <v>67</v>
      </c>
      <c r="N12" s="352" t="s">
        <v>2454</v>
      </c>
      <c r="O12" s="358" t="s">
        <v>97</v>
      </c>
      <c r="P12" s="359" t="s">
        <v>2455</v>
      </c>
      <c r="Q12" s="360" t="s">
        <v>2443</v>
      </c>
      <c r="R12" s="308" t="s">
        <v>94</v>
      </c>
      <c r="S12" s="361" t="s">
        <v>36</v>
      </c>
      <c r="T12" s="391" t="s">
        <v>2383</v>
      </c>
    </row>
    <row r="13" spans="1:20" s="32" customFormat="1" ht="43.35" customHeight="1" thickBot="1">
      <c r="B13" s="385" t="s">
        <v>76</v>
      </c>
      <c r="C13" s="154" t="s">
        <v>69</v>
      </c>
      <c r="D13" s="156" t="s">
        <v>98</v>
      </c>
      <c r="E13" s="156"/>
      <c r="F13" s="156"/>
      <c r="G13" s="157"/>
      <c r="H13" s="181"/>
      <c r="I13" s="157"/>
      <c r="J13" s="156"/>
      <c r="K13" s="159" t="s">
        <v>102</v>
      </c>
      <c r="L13" s="160"/>
      <c r="M13" s="161"/>
      <c r="N13" s="182"/>
      <c r="O13" s="162"/>
      <c r="P13" s="183"/>
      <c r="Q13" s="160"/>
      <c r="R13" s="164"/>
      <c r="S13" s="296"/>
      <c r="T13" s="392"/>
    </row>
    <row r="14" spans="1:20">
      <c r="B14" s="390" t="s">
        <v>2231</v>
      </c>
      <c r="C14" s="108"/>
      <c r="D14" s="109"/>
      <c r="E14" s="109"/>
      <c r="F14" s="111" t="s">
        <v>2232</v>
      </c>
      <c r="G14" s="110"/>
      <c r="H14" s="139"/>
      <c r="I14" s="280"/>
      <c r="J14" s="72"/>
      <c r="K14" s="140">
        <v>1750000</v>
      </c>
      <c r="L14" s="111"/>
      <c r="M14" s="73">
        <f t="shared" ref="M14:M42" si="0">IF(L14="",1,VLOOKUP(L14,Roadsitecond,2,FALSE))</f>
        <v>1</v>
      </c>
      <c r="N14" s="408">
        <f>IF(K14="","",K14*M14)</f>
        <v>1750000</v>
      </c>
      <c r="O14" s="111"/>
      <c r="P14" s="293"/>
      <c r="Q14" s="74"/>
      <c r="R14" s="291"/>
      <c r="S14" s="297">
        <v>2016</v>
      </c>
      <c r="T14" s="393">
        <f t="shared" ref="T14:T42" si="1">IFERROR(ROUND((N14*(1+PPI_Existing)^(YEAR-S14))+(R14*((1+LandInd_Existing)^(YEAR-S14))),0),0)</f>
        <v>1896282</v>
      </c>
    </row>
    <row r="15" spans="1:20">
      <c r="B15" s="390" t="s">
        <v>2233</v>
      </c>
      <c r="C15" s="114"/>
      <c r="D15" s="111"/>
      <c r="E15" s="111"/>
      <c r="F15" s="111" t="s">
        <v>2234</v>
      </c>
      <c r="G15" s="110"/>
      <c r="H15" s="141"/>
      <c r="I15" s="280"/>
      <c r="J15" s="72"/>
      <c r="K15" s="140">
        <v>6435000</v>
      </c>
      <c r="L15" s="111"/>
      <c r="M15" s="73">
        <f t="shared" si="0"/>
        <v>1</v>
      </c>
      <c r="N15" s="408">
        <f t="shared" ref="N15:N39" si="2">IF(K15="","",K15*M15)</f>
        <v>6435000</v>
      </c>
      <c r="O15" s="111"/>
      <c r="P15" s="294"/>
      <c r="Q15" s="75"/>
      <c r="R15" s="292"/>
      <c r="S15" s="298">
        <v>2016</v>
      </c>
      <c r="T15" s="394">
        <f t="shared" si="1"/>
        <v>6972899</v>
      </c>
    </row>
    <row r="16" spans="1:20">
      <c r="B16" s="390" t="s">
        <v>2235</v>
      </c>
      <c r="C16" s="114"/>
      <c r="D16" s="111"/>
      <c r="E16" s="111"/>
      <c r="F16" s="111" t="s">
        <v>2236</v>
      </c>
      <c r="G16" s="110"/>
      <c r="H16" s="141"/>
      <c r="I16" s="280"/>
      <c r="J16" s="72"/>
      <c r="K16" s="140">
        <v>7800000</v>
      </c>
      <c r="L16" s="111"/>
      <c r="M16" s="73">
        <f t="shared" si="0"/>
        <v>1</v>
      </c>
      <c r="N16" s="408">
        <f t="shared" si="2"/>
        <v>7800000</v>
      </c>
      <c r="O16" s="111"/>
      <c r="P16" s="294"/>
      <c r="Q16" s="75"/>
      <c r="R16" s="292"/>
      <c r="S16" s="298">
        <v>2016</v>
      </c>
      <c r="T16" s="394">
        <f t="shared" si="1"/>
        <v>8451999</v>
      </c>
    </row>
    <row r="17" spans="2:20">
      <c r="B17" s="390" t="s">
        <v>2237</v>
      </c>
      <c r="C17" s="114"/>
      <c r="D17" s="111"/>
      <c r="E17" s="111"/>
      <c r="F17" s="111" t="s">
        <v>2238</v>
      </c>
      <c r="G17" s="110"/>
      <c r="H17" s="73"/>
      <c r="I17" s="280"/>
      <c r="J17" s="72"/>
      <c r="K17" s="140">
        <v>1111000</v>
      </c>
      <c r="L17" s="111"/>
      <c r="M17" s="73">
        <f t="shared" si="0"/>
        <v>1</v>
      </c>
      <c r="N17" s="408">
        <f t="shared" si="2"/>
        <v>1111000</v>
      </c>
      <c r="O17" s="111"/>
      <c r="P17" s="294"/>
      <c r="Q17" s="75"/>
      <c r="R17" s="292"/>
      <c r="S17" s="298">
        <v>2016</v>
      </c>
      <c r="T17" s="394">
        <f t="shared" si="1"/>
        <v>1203868</v>
      </c>
    </row>
    <row r="18" spans="2:20">
      <c r="B18" s="390" t="s">
        <v>2239</v>
      </c>
      <c r="C18" s="114"/>
      <c r="D18" s="111"/>
      <c r="E18" s="111"/>
      <c r="F18" s="111" t="s">
        <v>2240</v>
      </c>
      <c r="G18" s="110"/>
      <c r="H18" s="141"/>
      <c r="I18" s="280"/>
      <c r="J18" s="72"/>
      <c r="K18" s="140">
        <v>11407500</v>
      </c>
      <c r="L18" s="111"/>
      <c r="M18" s="73">
        <f t="shared" si="0"/>
        <v>1</v>
      </c>
      <c r="N18" s="408">
        <f t="shared" si="2"/>
        <v>11407500</v>
      </c>
      <c r="O18" s="111"/>
      <c r="P18" s="294"/>
      <c r="Q18" s="75"/>
      <c r="R18" s="292"/>
      <c r="S18" s="298">
        <v>2016</v>
      </c>
      <c r="T18" s="394">
        <f t="shared" si="1"/>
        <v>12361049</v>
      </c>
    </row>
    <row r="19" spans="2:20">
      <c r="B19" s="390" t="s">
        <v>2241</v>
      </c>
      <c r="C19" s="114"/>
      <c r="D19" s="111"/>
      <c r="E19" s="111"/>
      <c r="F19" s="111" t="s">
        <v>2242</v>
      </c>
      <c r="G19" s="110"/>
      <c r="H19" s="141"/>
      <c r="I19" s="280"/>
      <c r="J19" s="72"/>
      <c r="K19" s="140">
        <v>2455000</v>
      </c>
      <c r="L19" s="111"/>
      <c r="M19" s="73">
        <f t="shared" si="0"/>
        <v>1</v>
      </c>
      <c r="N19" s="408">
        <f t="shared" si="2"/>
        <v>2455000</v>
      </c>
      <c r="O19" s="111"/>
      <c r="P19" s="294"/>
      <c r="Q19" s="75"/>
      <c r="R19" s="292"/>
      <c r="S19" s="298">
        <v>2016</v>
      </c>
      <c r="T19" s="394">
        <f t="shared" si="1"/>
        <v>2660213</v>
      </c>
    </row>
    <row r="20" spans="2:20">
      <c r="B20" s="390" t="s">
        <v>2243</v>
      </c>
      <c r="C20" s="114"/>
      <c r="D20" s="111"/>
      <c r="E20" s="111"/>
      <c r="F20" s="111" t="s">
        <v>2244</v>
      </c>
      <c r="G20" s="110"/>
      <c r="H20" s="141"/>
      <c r="I20" s="280"/>
      <c r="J20" s="72"/>
      <c r="K20" s="140">
        <v>7800000</v>
      </c>
      <c r="L20" s="111"/>
      <c r="M20" s="73">
        <f t="shared" si="0"/>
        <v>1</v>
      </c>
      <c r="N20" s="408">
        <f t="shared" si="2"/>
        <v>7800000</v>
      </c>
      <c r="O20" s="111"/>
      <c r="P20" s="294"/>
      <c r="Q20" s="75"/>
      <c r="R20" s="292"/>
      <c r="S20" s="298">
        <v>2016</v>
      </c>
      <c r="T20" s="394">
        <f t="shared" si="1"/>
        <v>8451999</v>
      </c>
    </row>
    <row r="21" spans="2:20">
      <c r="B21" s="390" t="s">
        <v>2245</v>
      </c>
      <c r="C21" s="114"/>
      <c r="D21" s="111"/>
      <c r="E21" s="111"/>
      <c r="F21" s="111" t="s">
        <v>2246</v>
      </c>
      <c r="G21" s="110"/>
      <c r="H21" s="141"/>
      <c r="I21" s="280"/>
      <c r="J21" s="72"/>
      <c r="K21" s="140">
        <v>9360000</v>
      </c>
      <c r="L21" s="111"/>
      <c r="M21" s="73">
        <f t="shared" si="0"/>
        <v>1</v>
      </c>
      <c r="N21" s="408">
        <f t="shared" si="2"/>
        <v>9360000</v>
      </c>
      <c r="O21" s="111"/>
      <c r="P21" s="294"/>
      <c r="Q21" s="75"/>
      <c r="R21" s="292"/>
      <c r="S21" s="298">
        <v>2016</v>
      </c>
      <c r="T21" s="394">
        <f t="shared" si="1"/>
        <v>10142399</v>
      </c>
    </row>
    <row r="22" spans="2:20">
      <c r="B22" s="390" t="s">
        <v>2247</v>
      </c>
      <c r="C22" s="114"/>
      <c r="D22" s="111"/>
      <c r="E22" s="111"/>
      <c r="F22" s="111" t="s">
        <v>2248</v>
      </c>
      <c r="G22" s="110"/>
      <c r="H22" s="141"/>
      <c r="I22" s="280"/>
      <c r="J22" s="72"/>
      <c r="K22" s="140">
        <v>3006000</v>
      </c>
      <c r="L22" s="111"/>
      <c r="M22" s="73">
        <f t="shared" si="0"/>
        <v>1</v>
      </c>
      <c r="N22" s="408">
        <f t="shared" si="2"/>
        <v>3006000</v>
      </c>
      <c r="O22" s="111"/>
      <c r="P22" s="294"/>
      <c r="Q22" s="75"/>
      <c r="R22" s="292"/>
      <c r="S22" s="298">
        <v>2016</v>
      </c>
      <c r="T22" s="394">
        <f t="shared" si="1"/>
        <v>3257270</v>
      </c>
    </row>
    <row r="23" spans="2:20">
      <c r="B23" s="390" t="s">
        <v>2249</v>
      </c>
      <c r="C23" s="114"/>
      <c r="D23" s="111"/>
      <c r="E23" s="111"/>
      <c r="F23" s="111" t="s">
        <v>2250</v>
      </c>
      <c r="G23" s="110"/>
      <c r="H23" s="141"/>
      <c r="I23" s="280"/>
      <c r="J23" s="72"/>
      <c r="K23" s="140">
        <v>2767000</v>
      </c>
      <c r="L23" s="111"/>
      <c r="M23" s="73">
        <f t="shared" si="0"/>
        <v>1</v>
      </c>
      <c r="N23" s="408">
        <f t="shared" si="2"/>
        <v>2767000</v>
      </c>
      <c r="O23" s="111"/>
      <c r="P23" s="294"/>
      <c r="Q23" s="75"/>
      <c r="R23" s="292"/>
      <c r="S23" s="298">
        <v>2016</v>
      </c>
      <c r="T23" s="394">
        <f t="shared" si="1"/>
        <v>2998293</v>
      </c>
    </row>
    <row r="24" spans="2:20">
      <c r="B24" s="390" t="s">
        <v>2251</v>
      </c>
      <c r="C24" s="114"/>
      <c r="D24" s="111"/>
      <c r="E24" s="111"/>
      <c r="F24" s="111" t="s">
        <v>2252</v>
      </c>
      <c r="G24" s="110"/>
      <c r="H24" s="141"/>
      <c r="I24" s="280"/>
      <c r="J24" s="72"/>
      <c r="K24" s="140">
        <v>769000</v>
      </c>
      <c r="L24" s="111"/>
      <c r="M24" s="73">
        <f t="shared" si="0"/>
        <v>1</v>
      </c>
      <c r="N24" s="408">
        <f t="shared" si="2"/>
        <v>769000</v>
      </c>
      <c r="O24" s="111"/>
      <c r="P24" s="294"/>
      <c r="Q24" s="75"/>
      <c r="R24" s="292"/>
      <c r="S24" s="298">
        <v>2016</v>
      </c>
      <c r="T24" s="394">
        <f t="shared" si="1"/>
        <v>833280</v>
      </c>
    </row>
    <row r="25" spans="2:20">
      <c r="B25" s="390" t="s">
        <v>2253</v>
      </c>
      <c r="C25" s="114"/>
      <c r="D25" s="111"/>
      <c r="E25" s="111"/>
      <c r="F25" s="111" t="s">
        <v>2254</v>
      </c>
      <c r="G25" s="110"/>
      <c r="H25" s="141"/>
      <c r="I25" s="280"/>
      <c r="J25" s="72"/>
      <c r="K25" s="140">
        <v>11017500</v>
      </c>
      <c r="L25" s="111"/>
      <c r="M25" s="73">
        <f t="shared" si="0"/>
        <v>1</v>
      </c>
      <c r="N25" s="408">
        <f t="shared" si="2"/>
        <v>11017500</v>
      </c>
      <c r="O25" s="111"/>
      <c r="P25" s="294"/>
      <c r="Q25" s="75"/>
      <c r="R25" s="292"/>
      <c r="S25" s="298">
        <v>2016</v>
      </c>
      <c r="T25" s="394">
        <f t="shared" si="1"/>
        <v>11938449</v>
      </c>
    </row>
    <row r="26" spans="2:20">
      <c r="B26" s="390" t="s">
        <v>2255</v>
      </c>
      <c r="C26" s="114"/>
      <c r="D26" s="111"/>
      <c r="E26" s="111"/>
      <c r="F26" s="111" t="s">
        <v>2256</v>
      </c>
      <c r="G26" s="110"/>
      <c r="H26" s="141"/>
      <c r="I26" s="280"/>
      <c r="J26" s="72"/>
      <c r="K26" s="140">
        <v>9067500</v>
      </c>
      <c r="L26" s="111"/>
      <c r="M26" s="73">
        <f t="shared" si="0"/>
        <v>1</v>
      </c>
      <c r="N26" s="408">
        <f t="shared" si="2"/>
        <v>9067500</v>
      </c>
      <c r="O26" s="111"/>
      <c r="P26" s="294"/>
      <c r="Q26" s="75"/>
      <c r="R26" s="292"/>
      <c r="S26" s="298">
        <v>2016</v>
      </c>
      <c r="T26" s="394">
        <f t="shared" si="1"/>
        <v>9825449</v>
      </c>
    </row>
    <row r="27" spans="2:20">
      <c r="B27" s="390" t="s">
        <v>2257</v>
      </c>
      <c r="C27" s="114"/>
      <c r="D27" s="111"/>
      <c r="E27" s="111"/>
      <c r="F27" s="111" t="s">
        <v>2258</v>
      </c>
      <c r="G27" s="110"/>
      <c r="H27" s="141"/>
      <c r="I27" s="280"/>
      <c r="J27" s="72"/>
      <c r="K27" s="140">
        <v>6142500</v>
      </c>
      <c r="L27" s="111"/>
      <c r="M27" s="73">
        <f t="shared" si="0"/>
        <v>1</v>
      </c>
      <c r="N27" s="408">
        <f t="shared" si="2"/>
        <v>6142500</v>
      </c>
      <c r="O27" s="111"/>
      <c r="P27" s="294"/>
      <c r="Q27" s="75"/>
      <c r="R27" s="292"/>
      <c r="S27" s="298">
        <v>2016</v>
      </c>
      <c r="T27" s="394">
        <f t="shared" si="1"/>
        <v>6655949</v>
      </c>
    </row>
    <row r="28" spans="2:20">
      <c r="B28" s="390" t="s">
        <v>2259</v>
      </c>
      <c r="C28" s="114"/>
      <c r="D28" s="111"/>
      <c r="E28" s="111"/>
      <c r="F28" s="111" t="s">
        <v>2260</v>
      </c>
      <c r="G28" s="110"/>
      <c r="H28" s="141"/>
      <c r="I28" s="280"/>
      <c r="J28" s="72"/>
      <c r="K28" s="140">
        <v>9330000</v>
      </c>
      <c r="L28" s="111"/>
      <c r="M28" s="73">
        <f t="shared" si="0"/>
        <v>1</v>
      </c>
      <c r="N28" s="408">
        <f t="shared" si="2"/>
        <v>9330000</v>
      </c>
      <c r="O28" s="111"/>
      <c r="P28" s="294"/>
      <c r="Q28" s="75"/>
      <c r="R28" s="292"/>
      <c r="S28" s="298">
        <v>2016</v>
      </c>
      <c r="T28" s="394">
        <f t="shared" si="1"/>
        <v>10109891</v>
      </c>
    </row>
    <row r="29" spans="2:20">
      <c r="B29" s="390" t="s">
        <v>2261</v>
      </c>
      <c r="C29" s="114"/>
      <c r="D29" s="111"/>
      <c r="E29" s="111"/>
      <c r="F29" s="111" t="s">
        <v>2262</v>
      </c>
      <c r="G29" s="110"/>
      <c r="H29" s="141"/>
      <c r="I29" s="280"/>
      <c r="J29" s="72"/>
      <c r="K29" s="140">
        <v>2598000</v>
      </c>
      <c r="L29" s="111"/>
      <c r="M29" s="73">
        <f t="shared" si="0"/>
        <v>1</v>
      </c>
      <c r="N29" s="408">
        <f t="shared" si="2"/>
        <v>2598000</v>
      </c>
      <c r="O29" s="111"/>
      <c r="P29" s="294"/>
      <c r="Q29" s="75"/>
      <c r="R29" s="292"/>
      <c r="S29" s="298">
        <v>2016</v>
      </c>
      <c r="T29" s="394">
        <f t="shared" si="1"/>
        <v>2815166</v>
      </c>
    </row>
    <row r="30" spans="2:20">
      <c r="B30" s="390" t="s">
        <v>2263</v>
      </c>
      <c r="C30" s="114"/>
      <c r="D30" s="111"/>
      <c r="E30" s="111"/>
      <c r="F30" s="111" t="s">
        <v>2264</v>
      </c>
      <c r="G30" s="110"/>
      <c r="H30" s="141"/>
      <c r="I30" s="280"/>
      <c r="J30" s="72"/>
      <c r="K30" s="140">
        <v>9262500</v>
      </c>
      <c r="L30" s="111"/>
      <c r="M30" s="73">
        <f t="shared" si="0"/>
        <v>1</v>
      </c>
      <c r="N30" s="408">
        <f t="shared" si="2"/>
        <v>9262500</v>
      </c>
      <c r="O30" s="111"/>
      <c r="P30" s="294"/>
      <c r="Q30" s="75"/>
      <c r="R30" s="292"/>
      <c r="S30" s="298">
        <v>2016</v>
      </c>
      <c r="T30" s="394">
        <f t="shared" si="1"/>
        <v>10036749</v>
      </c>
    </row>
    <row r="31" spans="2:20">
      <c r="B31" s="390" t="s">
        <v>2265</v>
      </c>
      <c r="C31" s="114"/>
      <c r="D31" s="111"/>
      <c r="E31" s="111"/>
      <c r="F31" s="111" t="s">
        <v>2266</v>
      </c>
      <c r="G31" s="110"/>
      <c r="H31" s="141"/>
      <c r="I31" s="280"/>
      <c r="J31" s="72"/>
      <c r="K31" s="140">
        <v>1010000</v>
      </c>
      <c r="L31" s="111"/>
      <c r="M31" s="73">
        <f t="shared" si="0"/>
        <v>1</v>
      </c>
      <c r="N31" s="408">
        <f t="shared" si="2"/>
        <v>1010000</v>
      </c>
      <c r="O31" s="111"/>
      <c r="P31" s="294"/>
      <c r="Q31" s="75"/>
      <c r="R31" s="292"/>
      <c r="S31" s="298">
        <v>2016</v>
      </c>
      <c r="T31" s="394">
        <f t="shared" si="1"/>
        <v>1094426</v>
      </c>
    </row>
    <row r="32" spans="2:20">
      <c r="B32" s="390" t="s">
        <v>2267</v>
      </c>
      <c r="C32" s="114"/>
      <c r="D32" s="111"/>
      <c r="E32" s="111"/>
      <c r="F32" s="111" t="s">
        <v>2268</v>
      </c>
      <c r="G32" s="110"/>
      <c r="H32" s="141"/>
      <c r="I32" s="280"/>
      <c r="J32" s="72"/>
      <c r="K32" s="140">
        <v>12090000</v>
      </c>
      <c r="L32" s="111"/>
      <c r="M32" s="73">
        <f t="shared" si="0"/>
        <v>1</v>
      </c>
      <c r="N32" s="408">
        <f t="shared" si="2"/>
        <v>12090000</v>
      </c>
      <c r="O32" s="111"/>
      <c r="P32" s="294"/>
      <c r="Q32" s="75"/>
      <c r="R32" s="292"/>
      <c r="S32" s="298">
        <v>2016</v>
      </c>
      <c r="T32" s="394">
        <f t="shared" si="1"/>
        <v>13100599</v>
      </c>
    </row>
    <row r="33" spans="2:20">
      <c r="B33" s="390" t="s">
        <v>2269</v>
      </c>
      <c r="C33" s="114"/>
      <c r="D33" s="111"/>
      <c r="E33" s="111"/>
      <c r="F33" s="111" t="s">
        <v>2270</v>
      </c>
      <c r="G33" s="110"/>
      <c r="H33" s="141"/>
      <c r="I33" s="280"/>
      <c r="J33" s="72"/>
      <c r="K33" s="140">
        <v>4777000</v>
      </c>
      <c r="L33" s="111"/>
      <c r="M33" s="73">
        <f t="shared" si="0"/>
        <v>1</v>
      </c>
      <c r="N33" s="408">
        <f t="shared" si="2"/>
        <v>4777000</v>
      </c>
      <c r="O33" s="111"/>
      <c r="P33" s="294"/>
      <c r="Q33" s="75"/>
      <c r="R33" s="292"/>
      <c r="S33" s="298">
        <v>2016</v>
      </c>
      <c r="T33" s="394">
        <f t="shared" si="1"/>
        <v>5176308</v>
      </c>
    </row>
    <row r="34" spans="2:20">
      <c r="B34" s="390" t="s">
        <v>2271</v>
      </c>
      <c r="C34" s="114"/>
      <c r="D34" s="111"/>
      <c r="E34" s="111"/>
      <c r="F34" s="111" t="s">
        <v>2272</v>
      </c>
      <c r="G34" s="110"/>
      <c r="H34" s="141"/>
      <c r="I34" s="280"/>
      <c r="J34" s="72"/>
      <c r="K34" s="140">
        <v>691000</v>
      </c>
      <c r="L34" s="111"/>
      <c r="M34" s="73">
        <f t="shared" si="0"/>
        <v>1</v>
      </c>
      <c r="N34" s="408">
        <f t="shared" si="2"/>
        <v>691000</v>
      </c>
      <c r="O34" s="111"/>
      <c r="P34" s="294"/>
      <c r="Q34" s="75"/>
      <c r="R34" s="292"/>
      <c r="S34" s="298">
        <v>2016</v>
      </c>
      <c r="T34" s="394">
        <f t="shared" si="1"/>
        <v>748760</v>
      </c>
    </row>
    <row r="35" spans="2:20">
      <c r="B35" s="390" t="s">
        <v>2273</v>
      </c>
      <c r="C35" s="114"/>
      <c r="D35" s="111"/>
      <c r="E35" s="111"/>
      <c r="F35" s="111" t="s">
        <v>2274</v>
      </c>
      <c r="G35" s="110"/>
      <c r="H35" s="141"/>
      <c r="I35" s="280"/>
      <c r="J35" s="72"/>
      <c r="K35" s="140">
        <v>696000</v>
      </c>
      <c r="L35" s="111"/>
      <c r="M35" s="73">
        <f t="shared" si="0"/>
        <v>1</v>
      </c>
      <c r="N35" s="408">
        <f t="shared" si="2"/>
        <v>696000</v>
      </c>
      <c r="O35" s="111"/>
      <c r="P35" s="294"/>
      <c r="Q35" s="75"/>
      <c r="R35" s="292"/>
      <c r="S35" s="298">
        <v>2016</v>
      </c>
      <c r="T35" s="394">
        <f t="shared" si="1"/>
        <v>754178</v>
      </c>
    </row>
    <row r="36" spans="2:20">
      <c r="B36" s="390" t="s">
        <v>2275</v>
      </c>
      <c r="C36" s="114"/>
      <c r="D36" s="111"/>
      <c r="E36" s="111"/>
      <c r="F36" s="111" t="s">
        <v>2276</v>
      </c>
      <c r="G36" s="110"/>
      <c r="H36" s="141"/>
      <c r="I36" s="280"/>
      <c r="J36" s="72"/>
      <c r="K36" s="140">
        <v>1156000</v>
      </c>
      <c r="L36" s="111"/>
      <c r="M36" s="73">
        <f t="shared" si="0"/>
        <v>1</v>
      </c>
      <c r="N36" s="408">
        <f t="shared" si="2"/>
        <v>1156000</v>
      </c>
      <c r="O36" s="111"/>
      <c r="P36" s="294"/>
      <c r="Q36" s="75"/>
      <c r="R36" s="292"/>
      <c r="S36" s="298">
        <v>2016</v>
      </c>
      <c r="T36" s="394">
        <f t="shared" si="1"/>
        <v>1252630</v>
      </c>
    </row>
    <row r="37" spans="2:20">
      <c r="B37" s="390" t="s">
        <v>2277</v>
      </c>
      <c r="C37" s="114"/>
      <c r="D37" s="111"/>
      <c r="E37" s="111"/>
      <c r="F37" s="111" t="s">
        <v>2278</v>
      </c>
      <c r="G37" s="110"/>
      <c r="H37" s="141"/>
      <c r="I37" s="280"/>
      <c r="J37" s="72"/>
      <c r="K37" s="140">
        <v>4712000</v>
      </c>
      <c r="L37" s="111"/>
      <c r="M37" s="73">
        <f t="shared" si="0"/>
        <v>1</v>
      </c>
      <c r="N37" s="408">
        <f t="shared" si="2"/>
        <v>4712000</v>
      </c>
      <c r="O37" s="111"/>
      <c r="P37" s="294"/>
      <c r="Q37" s="75"/>
      <c r="R37" s="292"/>
      <c r="S37" s="298">
        <v>2016</v>
      </c>
      <c r="T37" s="394">
        <f t="shared" si="1"/>
        <v>5105874</v>
      </c>
    </row>
    <row r="38" spans="2:20">
      <c r="B38" s="390" t="s">
        <v>2279</v>
      </c>
      <c r="C38" s="114"/>
      <c r="D38" s="111"/>
      <c r="E38" s="111"/>
      <c r="F38" s="111" t="s">
        <v>2280</v>
      </c>
      <c r="G38" s="110"/>
      <c r="H38" s="141"/>
      <c r="I38" s="280"/>
      <c r="J38" s="72"/>
      <c r="K38" s="140">
        <v>367000</v>
      </c>
      <c r="L38" s="111"/>
      <c r="M38" s="73">
        <f t="shared" si="0"/>
        <v>1</v>
      </c>
      <c r="N38" s="408">
        <f t="shared" si="2"/>
        <v>367000</v>
      </c>
      <c r="O38" s="111"/>
      <c r="P38" s="294"/>
      <c r="Q38" s="75"/>
      <c r="R38" s="292"/>
      <c r="S38" s="298">
        <v>2016</v>
      </c>
      <c r="T38" s="394">
        <f t="shared" si="1"/>
        <v>397677</v>
      </c>
    </row>
    <row r="39" spans="2:20">
      <c r="B39" s="390" t="s">
        <v>2281</v>
      </c>
      <c r="C39" s="114"/>
      <c r="D39" s="111"/>
      <c r="E39" s="111"/>
      <c r="F39" s="111" t="s">
        <v>2282</v>
      </c>
      <c r="G39" s="110"/>
      <c r="H39" s="141"/>
      <c r="I39" s="280"/>
      <c r="J39" s="72"/>
      <c r="K39" s="140">
        <v>8875000</v>
      </c>
      <c r="L39" s="111"/>
      <c r="M39" s="73">
        <f t="shared" si="0"/>
        <v>1</v>
      </c>
      <c r="N39" s="408">
        <f t="shared" si="2"/>
        <v>8875000</v>
      </c>
      <c r="O39" s="111"/>
      <c r="P39" s="294"/>
      <c r="Q39" s="75"/>
      <c r="R39" s="292"/>
      <c r="S39" s="298">
        <v>2016</v>
      </c>
      <c r="T39" s="394">
        <f t="shared" si="1"/>
        <v>9616858</v>
      </c>
    </row>
    <row r="40" spans="2:20">
      <c r="B40" s="390" t="s">
        <v>2301</v>
      </c>
      <c r="C40" s="114"/>
      <c r="D40" s="111"/>
      <c r="E40" s="111"/>
      <c r="F40" s="111" t="s">
        <v>2380</v>
      </c>
      <c r="G40" s="110"/>
      <c r="H40" s="141"/>
      <c r="I40" s="280"/>
      <c r="J40" s="72"/>
      <c r="K40" s="140">
        <v>7875000</v>
      </c>
      <c r="L40" s="111"/>
      <c r="M40" s="73">
        <f t="shared" si="0"/>
        <v>1</v>
      </c>
      <c r="N40" s="408">
        <v>11192403</v>
      </c>
      <c r="O40" s="111"/>
      <c r="P40" s="294"/>
      <c r="Q40" s="75"/>
      <c r="R40" s="292"/>
      <c r="S40" s="298">
        <v>2016</v>
      </c>
      <c r="T40" s="394">
        <f t="shared" si="1"/>
        <v>12127972</v>
      </c>
    </row>
    <row r="41" spans="2:20">
      <c r="B41" s="390" t="s">
        <v>2299</v>
      </c>
      <c r="C41" s="114"/>
      <c r="D41" s="111"/>
      <c r="E41" s="111"/>
      <c r="F41" s="111" t="s">
        <v>2381</v>
      </c>
      <c r="G41" s="110"/>
      <c r="H41" s="141"/>
      <c r="I41" s="280"/>
      <c r="J41" s="72"/>
      <c r="K41" s="140">
        <v>8100000</v>
      </c>
      <c r="L41" s="111"/>
      <c r="M41" s="73">
        <f t="shared" si="0"/>
        <v>1</v>
      </c>
      <c r="N41" s="408">
        <v>11512186</v>
      </c>
      <c r="O41" s="111"/>
      <c r="P41" s="294"/>
      <c r="Q41" s="75"/>
      <c r="R41" s="292"/>
      <c r="S41" s="298">
        <v>2016</v>
      </c>
      <c r="T41" s="394">
        <f t="shared" si="1"/>
        <v>12474486</v>
      </c>
    </row>
    <row r="42" spans="2:20">
      <c r="B42" s="396" t="s">
        <v>2295</v>
      </c>
      <c r="C42" s="396"/>
      <c r="D42" s="397"/>
      <c r="E42" s="397"/>
      <c r="F42" s="397" t="s">
        <v>2382</v>
      </c>
      <c r="G42" s="398"/>
      <c r="H42" s="399"/>
      <c r="I42" s="400"/>
      <c r="J42" s="401"/>
      <c r="K42" s="402">
        <v>7440000</v>
      </c>
      <c r="L42" s="397"/>
      <c r="M42" s="403">
        <f t="shared" si="0"/>
        <v>1</v>
      </c>
      <c r="N42" s="409">
        <v>10574156</v>
      </c>
      <c r="O42" s="397"/>
      <c r="P42" s="404"/>
      <c r="Q42" s="405"/>
      <c r="R42" s="292"/>
      <c r="S42" s="406">
        <v>2016</v>
      </c>
      <c r="T42" s="407">
        <f t="shared" si="1"/>
        <v>11458046</v>
      </c>
    </row>
    <row r="43" spans="2:20" ht="14.4" thickBot="1">
      <c r="B43" s="173"/>
      <c r="C43" s="174"/>
      <c r="D43" s="174"/>
      <c r="E43" s="174"/>
      <c r="F43" s="174"/>
      <c r="G43" s="174"/>
      <c r="H43" s="175"/>
      <c r="I43" s="176"/>
      <c r="J43" s="177"/>
      <c r="K43" s="270">
        <f>SUM(K14:K42)</f>
        <v>159867500</v>
      </c>
      <c r="L43" s="174"/>
      <c r="M43" s="175"/>
      <c r="N43" s="410">
        <f>SUM(N14:N42)</f>
        <v>169731245</v>
      </c>
      <c r="O43" s="174"/>
      <c r="P43" s="175"/>
      <c r="Q43" s="177"/>
      <c r="R43" s="176"/>
      <c r="S43" s="178"/>
      <c r="T43" s="411">
        <f>SUM(T14:T42)</f>
        <v>183919018</v>
      </c>
    </row>
  </sheetData>
  <mergeCells count="6">
    <mergeCell ref="R11:S11"/>
    <mergeCell ref="B8:C8"/>
    <mergeCell ref="B11:F11"/>
    <mergeCell ref="G11:H11"/>
    <mergeCell ref="I11:M11"/>
    <mergeCell ref="N11:Q11"/>
  </mergeCells>
  <conditionalFormatting sqref="B14:B42">
    <cfRule type="expression" dxfId="18" priority="11">
      <formula>#REF!="Active"</formula>
    </cfRule>
  </conditionalFormatting>
  <conditionalFormatting sqref="F1:F1048576">
    <cfRule type="duplicateValues" dxfId="17" priority="1"/>
  </conditionalFormatting>
  <conditionalFormatting sqref="F40:F42 G14:G42 H38:I42">
    <cfRule type="expression" dxfId="16" priority="13">
      <formula>#REF!="Active"</formula>
    </cfRule>
  </conditionalFormatting>
  <conditionalFormatting sqref="H14">
    <cfRule type="expression" dxfId="15" priority="16">
      <formula>#REF!="Active"</formula>
    </cfRule>
  </conditionalFormatting>
  <conditionalFormatting sqref="H15:H19">
    <cfRule type="expression" dxfId="14" priority="15">
      <formula>#REF!="Active"</formula>
    </cfRule>
  </conditionalFormatting>
  <conditionalFormatting sqref="H20:H37 G43:I43">
    <cfRule type="expression" dxfId="13" priority="14">
      <formula>#REF!="Active"</formula>
    </cfRule>
  </conditionalFormatting>
  <conditionalFormatting sqref="I14:I37">
    <cfRule type="expression" dxfId="12" priority="12">
      <formula>#REF!="Active"</formula>
    </cfRule>
  </conditionalFormatting>
  <hyperlinks>
    <hyperlink ref="B4" location="'Navigation Pane'!A1" display="Return to Navigation Pane" xr:uid="{8AAA5D7A-6C3E-4324-8751-90B67EAD09A3}"/>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Active and Public Transport Network - &amp;A
&amp;"Arial,Bold"&amp;K000000Effective 27th June 2025&amp;R&amp;"Arial,Regular"&amp;10Page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AI126"/>
  <sheetViews>
    <sheetView tabSelected="1" zoomScale="70" zoomScaleNormal="70" workbookViewId="0">
      <selection activeCell="D8" sqref="D8:P9"/>
    </sheetView>
  </sheetViews>
  <sheetFormatPr defaultColWidth="9" defaultRowHeight="13.8"/>
  <cols>
    <col min="1" max="1" width="5.796875" style="30" customWidth="1"/>
    <col min="2" max="2" width="31" style="30" bestFit="1" customWidth="1"/>
    <col min="3" max="3" width="14.5" style="30" bestFit="1" customWidth="1"/>
    <col min="4" max="4" width="24.09765625" style="30" customWidth="1"/>
    <col min="5" max="5" width="10.09765625" style="30" customWidth="1"/>
    <col min="6" max="6" width="95.09765625" style="30" bestFit="1" customWidth="1"/>
    <col min="7" max="7" width="8" style="30" customWidth="1"/>
    <col min="8" max="8" width="10.09765625" style="30" customWidth="1"/>
    <col min="9" max="9" width="24.09765625" style="69" customWidth="1"/>
    <col min="10" max="10" width="11.5" style="30" bestFit="1" customWidth="1"/>
    <col min="11" max="11" width="11.5" style="44" bestFit="1" customWidth="1"/>
    <col min="12" max="12" width="11.5" style="30" bestFit="1" customWidth="1"/>
    <col min="13" max="13" width="13" style="30" bestFit="1" customWidth="1"/>
    <col min="14" max="14" width="11.5" style="30" bestFit="1" customWidth="1"/>
    <col min="15" max="15" width="23.796875" style="30" customWidth="1"/>
    <col min="16" max="16" width="9.19921875" style="30" bestFit="1" customWidth="1"/>
    <col min="17" max="17" width="11.5" style="30" bestFit="1" customWidth="1"/>
    <col min="18" max="18" width="9.19921875" style="30" bestFit="1" customWidth="1"/>
    <col min="19" max="19" width="16.19921875" style="53" bestFit="1" customWidth="1"/>
    <col min="20" max="20" width="13.796875" style="30" bestFit="1" customWidth="1"/>
    <col min="21" max="21" width="13.796875" style="53" bestFit="1" customWidth="1"/>
    <col min="22" max="22" width="13.69921875" style="53" bestFit="1" customWidth="1"/>
    <col min="23" max="23" width="9.19921875" style="30" bestFit="1" customWidth="1"/>
    <col min="24" max="24" width="9.19921875" style="58" bestFit="1" customWidth="1"/>
    <col min="25" max="25" width="14.59765625" style="51" bestFit="1" customWidth="1"/>
    <col min="26" max="26" width="27.796875" style="51" customWidth="1"/>
    <col min="27" max="27" width="16.19921875" style="51" bestFit="1" customWidth="1"/>
    <col min="28" max="28" width="11.5" style="51" bestFit="1" customWidth="1"/>
    <col min="29" max="29" width="28.09765625" style="51" bestFit="1" customWidth="1"/>
    <col min="30" max="30" width="14.59765625" style="53" bestFit="1" customWidth="1"/>
    <col min="31" max="31" width="20.796875" style="53" bestFit="1" customWidth="1"/>
    <col min="32" max="32" width="20.59765625" style="53" bestFit="1" customWidth="1"/>
    <col min="33" max="33" width="18.5" style="53" bestFit="1" customWidth="1"/>
    <col min="34" max="34" width="15" style="53" bestFit="1" customWidth="1"/>
    <col min="35" max="35" width="15" style="30" bestFit="1" customWidth="1"/>
    <col min="36" max="16384" width="9" style="30"/>
  </cols>
  <sheetData>
    <row r="1" spans="1:35" ht="14.4" thickBot="1"/>
    <row r="2" spans="1:35" ht="25.2" thickBot="1">
      <c r="B2" s="588" t="str">
        <f>'Navigation Pane'!B2</f>
        <v>Brisbane City Council</v>
      </c>
      <c r="C2" s="589"/>
      <c r="D2" s="590"/>
      <c r="E2" s="104"/>
      <c r="F2" s="104"/>
      <c r="G2" s="104"/>
      <c r="H2" s="104"/>
      <c r="I2" s="104"/>
      <c r="J2" s="104"/>
      <c r="K2" s="104"/>
      <c r="L2" s="104"/>
      <c r="M2" s="104"/>
      <c r="N2" s="104"/>
    </row>
    <row r="3" spans="1:35" ht="25.2" thickBot="1">
      <c r="B3" s="104"/>
      <c r="C3" s="104"/>
      <c r="D3" s="104"/>
      <c r="E3" s="104"/>
      <c r="F3" s="104"/>
      <c r="G3" s="104"/>
      <c r="H3" s="104"/>
      <c r="I3" s="104"/>
      <c r="J3" s="104"/>
      <c r="K3" s="104"/>
      <c r="L3" s="104"/>
      <c r="M3" s="104"/>
      <c r="N3" s="104"/>
      <c r="S3" s="61"/>
      <c r="U3" s="61"/>
      <c r="V3" s="61"/>
      <c r="X3" s="60"/>
      <c r="Y3" s="124"/>
      <c r="Z3" s="124"/>
      <c r="AA3" s="124"/>
      <c r="AB3" s="124"/>
      <c r="AC3" s="124"/>
      <c r="AD3" s="61"/>
      <c r="AE3" s="61"/>
      <c r="AF3" s="61"/>
      <c r="AG3" s="61"/>
      <c r="AH3" s="61"/>
    </row>
    <row r="4" spans="1:35" ht="25.5" customHeight="1" thickBot="1">
      <c r="B4" s="170" t="s">
        <v>117</v>
      </c>
      <c r="C4" s="104"/>
      <c r="D4" s="104"/>
      <c r="E4" s="104"/>
      <c r="F4" s="104"/>
      <c r="G4" s="104"/>
      <c r="H4" s="104"/>
      <c r="I4" s="104"/>
      <c r="J4" s="104"/>
      <c r="K4" s="104"/>
      <c r="L4" s="104"/>
      <c r="M4" s="104"/>
      <c r="N4" s="104"/>
    </row>
    <row r="5" spans="1:35" ht="24" thickBot="1">
      <c r="A5" s="414"/>
      <c r="B5" s="412" t="s">
        <v>47</v>
      </c>
      <c r="K5" s="106"/>
    </row>
    <row r="6" spans="1:35" ht="24" thickBot="1">
      <c r="B6" s="591" t="s">
        <v>2305</v>
      </c>
      <c r="C6" s="592"/>
      <c r="D6" s="47"/>
      <c r="E6" s="47"/>
      <c r="F6" s="47"/>
      <c r="G6" s="47"/>
      <c r="H6" s="47"/>
      <c r="I6" s="47"/>
      <c r="J6" s="47"/>
      <c r="K6" s="47"/>
      <c r="L6" s="47"/>
      <c r="M6" s="47"/>
      <c r="N6" s="47"/>
      <c r="S6" s="61"/>
      <c r="U6" s="61"/>
      <c r="V6" s="61"/>
      <c r="X6" s="60"/>
      <c r="Y6" s="124"/>
      <c r="Z6" s="124"/>
      <c r="AA6" s="124"/>
      <c r="AB6" s="124"/>
      <c r="AC6" s="124"/>
      <c r="AD6" s="61"/>
      <c r="AE6" s="61"/>
      <c r="AF6" s="54"/>
      <c r="AG6" s="54"/>
      <c r="AH6" s="61"/>
    </row>
    <row r="7" spans="1:35" ht="14.4" thickBot="1">
      <c r="K7" s="106"/>
      <c r="S7" s="61"/>
      <c r="U7" s="61"/>
      <c r="V7" s="61"/>
      <c r="X7" s="60"/>
      <c r="Y7" s="124"/>
      <c r="Z7" s="124"/>
      <c r="AA7" s="124"/>
      <c r="AB7" s="124"/>
      <c r="AC7" s="124"/>
      <c r="AD7" s="61"/>
      <c r="AE7" s="61"/>
      <c r="AF7" s="61"/>
      <c r="AG7" s="61"/>
      <c r="AH7" s="61"/>
    </row>
    <row r="8" spans="1:35" ht="72" customHeight="1" thickBot="1">
      <c r="B8" s="599" t="s">
        <v>2482</v>
      </c>
      <c r="C8" s="600"/>
      <c r="D8" s="601"/>
      <c r="E8" s="595" t="s">
        <v>2458</v>
      </c>
      <c r="F8" s="596"/>
      <c r="G8" s="596"/>
      <c r="H8" s="596"/>
      <c r="I8" s="596"/>
      <c r="J8" s="596"/>
      <c r="K8" s="596"/>
      <c r="L8" s="596"/>
      <c r="M8" s="596"/>
      <c r="N8" s="596"/>
      <c r="O8" s="596"/>
      <c r="P8" s="596"/>
      <c r="Q8" s="596"/>
      <c r="R8" s="596"/>
      <c r="S8" s="596"/>
      <c r="T8" s="596"/>
      <c r="U8" s="596"/>
      <c r="V8" s="596"/>
      <c r="W8" s="597"/>
      <c r="X8" s="60"/>
      <c r="Y8" s="124"/>
      <c r="Z8" s="124"/>
      <c r="AA8" s="124"/>
      <c r="AB8" s="124"/>
      <c r="AC8" s="124"/>
      <c r="AD8" s="61"/>
      <c r="AE8" s="61"/>
      <c r="AF8" s="61"/>
      <c r="AG8" s="61"/>
      <c r="AH8" s="61"/>
    </row>
    <row r="9" spans="1:35" ht="13.5" customHeight="1">
      <c r="E9" s="598"/>
      <c r="F9" s="598"/>
      <c r="G9" s="598"/>
      <c r="H9" s="598"/>
      <c r="I9" s="598"/>
      <c r="J9" s="598"/>
      <c r="K9" s="598"/>
      <c r="L9" s="598"/>
      <c r="M9" s="598"/>
      <c r="N9" s="598"/>
      <c r="O9" s="598"/>
      <c r="P9" s="598"/>
      <c r="Q9" s="598"/>
      <c r="R9" s="598"/>
      <c r="S9" s="598"/>
      <c r="T9" s="598"/>
      <c r="U9" s="598"/>
      <c r="V9" s="598"/>
      <c r="W9" s="598"/>
      <c r="X9" s="59"/>
      <c r="Y9" s="124"/>
      <c r="Z9" s="124"/>
      <c r="AA9" s="124"/>
      <c r="AB9" s="124"/>
      <c r="AC9" s="124"/>
      <c r="AD9" s="61"/>
      <c r="AE9" s="61"/>
      <c r="AF9" s="61"/>
      <c r="AG9" s="61"/>
      <c r="AH9" s="61"/>
    </row>
    <row r="10" spans="1:35" ht="14.4" thickBot="1">
      <c r="K10" s="106"/>
      <c r="S10" s="61"/>
      <c r="U10" s="61"/>
      <c r="V10" s="61"/>
      <c r="X10" s="60"/>
      <c r="Y10" s="124"/>
      <c r="Z10" s="124"/>
      <c r="AA10" s="124"/>
      <c r="AB10" s="124"/>
      <c r="AC10" s="124"/>
      <c r="AD10" s="61"/>
      <c r="AE10" s="61"/>
      <c r="AF10" s="61"/>
      <c r="AG10" s="61"/>
      <c r="AH10" s="61"/>
    </row>
    <row r="11" spans="1:35" ht="14.4" thickBot="1">
      <c r="B11" s="607" t="s">
        <v>96</v>
      </c>
      <c r="C11" s="608"/>
      <c r="D11" s="172" t="s">
        <v>91</v>
      </c>
      <c r="K11" s="106"/>
      <c r="S11" s="61"/>
      <c r="U11" s="61"/>
      <c r="V11" s="61"/>
      <c r="X11" s="60"/>
      <c r="Y11" s="124"/>
      <c r="Z11" s="124"/>
      <c r="AA11" s="124"/>
      <c r="AB11" s="124"/>
      <c r="AC11" s="124"/>
      <c r="AD11" s="61"/>
      <c r="AE11" s="61"/>
      <c r="AF11" s="61"/>
      <c r="AG11" s="61"/>
      <c r="AH11" s="61"/>
    </row>
    <row r="12" spans="1:35" ht="14.4" thickBot="1">
      <c r="K12" s="106"/>
      <c r="S12" s="61"/>
      <c r="U12" s="61"/>
      <c r="V12" s="61"/>
      <c r="X12" s="60"/>
      <c r="Y12" s="124"/>
      <c r="Z12" s="124"/>
      <c r="AA12" s="124"/>
      <c r="AB12" s="124"/>
      <c r="AC12" s="124"/>
      <c r="AD12" s="61"/>
      <c r="AE12" s="61"/>
      <c r="AF12" s="61"/>
      <c r="AG12" s="61"/>
      <c r="AH12" s="61"/>
    </row>
    <row r="13" spans="1:35" ht="14.4" thickBot="1">
      <c r="A13" s="191"/>
      <c r="B13" s="316"/>
      <c r="C13" s="316"/>
      <c r="D13" s="316"/>
      <c r="E13" s="316"/>
      <c r="F13" s="316"/>
      <c r="G13" s="316"/>
      <c r="H13" s="316" t="s">
        <v>38</v>
      </c>
      <c r="I13" s="316"/>
      <c r="J13" s="316"/>
      <c r="K13" s="316"/>
      <c r="L13" s="316"/>
      <c r="M13" s="316"/>
      <c r="N13" s="316"/>
      <c r="O13" s="316"/>
      <c r="P13" s="316"/>
      <c r="Q13" s="316"/>
      <c r="R13" s="316"/>
      <c r="S13" s="318"/>
      <c r="T13" s="316"/>
      <c r="U13" s="318"/>
      <c r="V13" s="318"/>
      <c r="W13" s="316"/>
      <c r="X13" s="316"/>
      <c r="Y13" s="325"/>
      <c r="Z13" s="325"/>
      <c r="AA13" s="325"/>
      <c r="AB13" s="325"/>
      <c r="AC13" s="325"/>
      <c r="AD13" s="318"/>
      <c r="AE13" s="326"/>
      <c r="AF13" s="605"/>
      <c r="AG13" s="606"/>
      <c r="AH13" s="593" t="s">
        <v>104</v>
      </c>
      <c r="AI13" s="594"/>
    </row>
    <row r="14" spans="1:35" ht="15.75" customHeight="1" thickBot="1">
      <c r="A14" s="191"/>
      <c r="B14" s="603" t="s">
        <v>70</v>
      </c>
      <c r="C14" s="603"/>
      <c r="D14" s="603"/>
      <c r="E14" s="603"/>
      <c r="F14" s="603"/>
      <c r="G14" s="602" t="s">
        <v>73</v>
      </c>
      <c r="H14" s="603"/>
      <c r="I14" s="604"/>
      <c r="J14" s="602" t="s">
        <v>87</v>
      </c>
      <c r="K14" s="603"/>
      <c r="L14" s="603"/>
      <c r="M14" s="604"/>
      <c r="N14" s="609" t="s">
        <v>71</v>
      </c>
      <c r="O14" s="610"/>
      <c r="P14" s="610"/>
      <c r="Q14" s="610"/>
      <c r="R14" s="610"/>
      <c r="S14" s="610"/>
      <c r="T14" s="610"/>
      <c r="U14" s="611"/>
      <c r="V14" s="611"/>
      <c r="W14" s="602" t="s">
        <v>72</v>
      </c>
      <c r="X14" s="603"/>
      <c r="Y14" s="603"/>
      <c r="Z14" s="603"/>
      <c r="AA14" s="603"/>
      <c r="AB14" s="603"/>
      <c r="AC14" s="603"/>
      <c r="AD14" s="603"/>
      <c r="AE14" s="603"/>
      <c r="AF14" s="603"/>
      <c r="AG14" s="604"/>
      <c r="AH14" s="593" t="s">
        <v>113</v>
      </c>
      <c r="AI14" s="594"/>
    </row>
    <row r="15" spans="1:35" s="120" customFormat="1" ht="111" customHeight="1" thickBot="1">
      <c r="A15" s="192"/>
      <c r="B15" s="320" t="s">
        <v>32</v>
      </c>
      <c r="C15" s="321" t="s">
        <v>68</v>
      </c>
      <c r="D15" s="321" t="s">
        <v>112</v>
      </c>
      <c r="E15" s="321" t="s">
        <v>107</v>
      </c>
      <c r="F15" s="321" t="s">
        <v>34</v>
      </c>
      <c r="G15" s="322" t="s">
        <v>74</v>
      </c>
      <c r="H15" s="320" t="s">
        <v>2425</v>
      </c>
      <c r="I15" s="321" t="s">
        <v>2426</v>
      </c>
      <c r="J15" s="322" t="s">
        <v>97</v>
      </c>
      <c r="K15" s="331" t="s">
        <v>2441</v>
      </c>
      <c r="L15" s="331" t="s">
        <v>2443</v>
      </c>
      <c r="M15" s="320" t="s">
        <v>94</v>
      </c>
      <c r="N15" s="322" t="s">
        <v>2442</v>
      </c>
      <c r="O15" s="332" t="s">
        <v>2427</v>
      </c>
      <c r="P15" s="321" t="s">
        <v>36</v>
      </c>
      <c r="Q15" s="321" t="s">
        <v>103</v>
      </c>
      <c r="R15" s="321" t="s">
        <v>85</v>
      </c>
      <c r="S15" s="333" t="s">
        <v>2429</v>
      </c>
      <c r="T15" s="322" t="s">
        <v>2428</v>
      </c>
      <c r="U15" s="324" t="s">
        <v>115</v>
      </c>
      <c r="V15" s="324" t="s">
        <v>116</v>
      </c>
      <c r="W15" s="320" t="s">
        <v>2431</v>
      </c>
      <c r="X15" s="321" t="s">
        <v>44</v>
      </c>
      <c r="Y15" s="334" t="s">
        <v>2440</v>
      </c>
      <c r="Z15" s="334" t="s">
        <v>2433</v>
      </c>
      <c r="AA15" s="334" t="s">
        <v>2321</v>
      </c>
      <c r="AB15" s="334" t="s">
        <v>2434</v>
      </c>
      <c r="AC15" s="335" t="s">
        <v>2435</v>
      </c>
      <c r="AD15" s="323" t="s">
        <v>2430</v>
      </c>
      <c r="AE15" s="336" t="s">
        <v>2436</v>
      </c>
      <c r="AF15" s="331" t="s">
        <v>2437</v>
      </c>
      <c r="AG15" s="331" t="s">
        <v>2438</v>
      </c>
      <c r="AH15" s="329" t="s">
        <v>64</v>
      </c>
      <c r="AI15" s="330" t="s">
        <v>2324</v>
      </c>
    </row>
    <row r="16" spans="1:35" s="436" customFormat="1" ht="48.75" customHeight="1" thickBot="1">
      <c r="A16" s="415"/>
      <c r="B16" s="416" t="s">
        <v>76</v>
      </c>
      <c r="C16" s="417" t="s">
        <v>69</v>
      </c>
      <c r="D16" s="418"/>
      <c r="E16" s="419"/>
      <c r="F16" s="420"/>
      <c r="G16" s="418"/>
      <c r="H16" s="418"/>
      <c r="I16" s="420"/>
      <c r="J16" s="418"/>
      <c r="K16" s="419"/>
      <c r="L16" s="421"/>
      <c r="M16" s="422"/>
      <c r="N16" s="423"/>
      <c r="O16" s="424" t="s">
        <v>102</v>
      </c>
      <c r="P16" s="420"/>
      <c r="Q16" s="418"/>
      <c r="R16" s="420"/>
      <c r="S16" s="425"/>
      <c r="T16" s="418"/>
      <c r="U16" s="426"/>
      <c r="V16" s="425"/>
      <c r="W16" s="420"/>
      <c r="X16" s="418"/>
      <c r="Y16" s="427"/>
      <c r="Z16" s="428" t="s">
        <v>2439</v>
      </c>
      <c r="AA16" s="429"/>
      <c r="AB16" s="428"/>
      <c r="AC16" s="429" t="s">
        <v>2322</v>
      </c>
      <c r="AD16" s="430"/>
      <c r="AE16" s="431" t="s">
        <v>77</v>
      </c>
      <c r="AF16" s="432" t="s">
        <v>86</v>
      </c>
      <c r="AG16" s="433" t="s">
        <v>2323</v>
      </c>
      <c r="AH16" s="434"/>
      <c r="AI16" s="435"/>
    </row>
    <row r="17" spans="1:35">
      <c r="A17" s="191"/>
      <c r="B17" s="112" t="s">
        <v>2151</v>
      </c>
      <c r="C17" s="114" t="s">
        <v>2384</v>
      </c>
      <c r="D17" s="111" t="s">
        <v>2224</v>
      </c>
      <c r="E17" s="111" t="s">
        <v>113</v>
      </c>
      <c r="F17" s="111" t="s">
        <v>2475</v>
      </c>
      <c r="G17" s="113"/>
      <c r="H17" s="275">
        <v>178</v>
      </c>
      <c r="I17" s="276" t="s">
        <v>2224</v>
      </c>
      <c r="J17" s="112"/>
      <c r="K17" s="206">
        <v>1260</v>
      </c>
      <c r="L17" s="373">
        <f>IF(tblFuturePathway[[#This Row],[Size of Land (m2)]]=0,0,tblFuturePathway[[#This Row],[Land Value]]/tblFuturePathway[[#This Row],[Size of Land (m2)]])</f>
        <v>474.30555555555554</v>
      </c>
      <c r="M17" s="195">
        <v>597625</v>
      </c>
      <c r="N17" s="195">
        <f>tblFuturePathway[[#This Row],[Direct Construction Cost]]/tblFuturePathway[[#This Row],[Length (m)]]</f>
        <v>12812</v>
      </c>
      <c r="O17" s="72">
        <v>2280536</v>
      </c>
      <c r="P17" s="111">
        <v>2021</v>
      </c>
      <c r="Q17" s="76">
        <v>0.01</v>
      </c>
      <c r="R17" s="206"/>
      <c r="S17" s="365">
        <f t="shared" ref="S17:S46" si="0">ROUND((O17)*23%,0)</f>
        <v>524523</v>
      </c>
      <c r="T17" s="366">
        <f t="shared" ref="T17:T46" si="1">IF(W17="","",IF(W17&lt;=YEAR+5,0.075,IF(AND(W17&gt;YEAR+5,W17&lt;=YEAR+10),0.15,IF(AND(W17&gt;YEAR+10,W17&lt;=YEAR+20),0.2,IF(W17&gt;YEAR+20,0.25,"")))))</f>
        <v>0.15</v>
      </c>
      <c r="U17" s="365">
        <f t="shared" ref="U17:U46" si="2">ROUND((O17+S17)*T17,0)</f>
        <v>420759</v>
      </c>
      <c r="V17" s="273">
        <v>0</v>
      </c>
      <c r="W17" s="261">
        <v>2029</v>
      </c>
      <c r="X17" s="367">
        <f>(1+PPI)^(W17-YEAR)</f>
        <v>1.1552634751694639</v>
      </c>
      <c r="Y17" s="146">
        <f t="shared" ref="Y17:Y46" si="3">ROUND(U17+S17+O17,0)</f>
        <v>3225818</v>
      </c>
      <c r="Z17" s="235">
        <f>IFERROR(IF(tblFuturePathway[[#This Row],[Year of Provision]]&gt;2024,VLOOKUP(tblFuturePathway[[#This Row],[Service Catchment]],'Catchment Demand - Pathway'!C$8:M$8,11,FALSE),""),"")</f>
        <v>0.33960071153808458</v>
      </c>
      <c r="AA17" s="234" cm="1">
        <f t="array" ref="AA1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1.1640864237607691E-2</v>
      </c>
      <c r="AB17" s="368">
        <f>IF(AND(tblFuturePathway[[#This Row],[Spare Capacity (%)]]&gt;30%,tblFuturePathway[[#This Row],[Share of the total Cost with the same year of provision %]]&gt;20%),(1-tblFuturePathway[[#This Row],[Spare Capacity (%)]]),1)</f>
        <v>1</v>
      </c>
      <c r="AC17" s="368">
        <f>IF(tblFuturePathway[[#This Row],[Terminal Value Analysis]]&lt;0,0,tblFuturePathway[[#This Row],[Terminal Value Analysis]])</f>
        <v>1</v>
      </c>
      <c r="AD17" s="75">
        <f>ROUND(Y17+M17-tblFuturePathway[[#This Row],[Grants and Subsidies ($)]],0)</f>
        <v>3823443</v>
      </c>
      <c r="AE17" s="211">
        <f>IFERROR(ROUND((Y17*X17+(M17*((1+Landind)^(W17-YEAR)))),0),0)</f>
        <v>4427497</v>
      </c>
      <c r="AF17" s="369">
        <f t="shared" ref="AF17:AF46" si="4">ROUND((AE17*(1/(1+WACC))^(W17-YEAR)),0)</f>
        <v>2796807</v>
      </c>
      <c r="AG17" s="75">
        <f>tblFuturePathway[[#This Row],[Net Present Value of Establishment Cost]]*tblFuturePathway[[#This Row],[Terminal Value Adjustment (%)]]</f>
        <v>2796807</v>
      </c>
      <c r="AH17" s="370">
        <f t="shared" ref="AH17:AH46" si="5">AF17</f>
        <v>2796807</v>
      </c>
      <c r="AI17" s="371">
        <f>tblFuturePathway[[#This Row],[Net Present Value of Establishment Cost]]*tblFuturePathway[[#This Row],[Terminal Value Adjustment (%)]]</f>
        <v>2796807</v>
      </c>
    </row>
    <row r="18" spans="1:35">
      <c r="A18" s="191"/>
      <c r="B18" s="112" t="s">
        <v>2151</v>
      </c>
      <c r="C18" s="114" t="s">
        <v>2107</v>
      </c>
      <c r="D18" s="111" t="s">
        <v>2224</v>
      </c>
      <c r="E18" s="111" t="s">
        <v>113</v>
      </c>
      <c r="F18" s="111" t="s">
        <v>2181</v>
      </c>
      <c r="G18" s="113"/>
      <c r="H18" s="275">
        <v>171</v>
      </c>
      <c r="I18" s="276" t="s">
        <v>2224</v>
      </c>
      <c r="J18" s="112"/>
      <c r="K18" s="206">
        <v>1348</v>
      </c>
      <c r="L18" s="373">
        <f>IF(tblFuturePathway[[#This Row],[Size of Land (m2)]]=0,0,tblFuturePathway[[#This Row],[Land Value]]/tblFuturePathway[[#This Row],[Size of Land (m2)]])</f>
        <v>1003.3612759643917</v>
      </c>
      <c r="M18" s="195">
        <v>1352531</v>
      </c>
      <c r="N18" s="195">
        <f>tblFuturePathway[[#This Row],[Direct Construction Cost]]/tblFuturePathway[[#This Row],[Length (m)]]</f>
        <v>815.61403508771934</v>
      </c>
      <c r="O18" s="72">
        <v>139470</v>
      </c>
      <c r="P18" s="111">
        <v>2021</v>
      </c>
      <c r="Q18" s="76">
        <v>0.01</v>
      </c>
      <c r="R18" s="206"/>
      <c r="S18" s="365">
        <f t="shared" si="0"/>
        <v>32078</v>
      </c>
      <c r="T18" s="366">
        <f t="shared" si="1"/>
        <v>7.4999999999999997E-2</v>
      </c>
      <c r="U18" s="365">
        <f t="shared" si="2"/>
        <v>12866</v>
      </c>
      <c r="V18" s="273">
        <v>0</v>
      </c>
      <c r="W18" s="261">
        <v>2024</v>
      </c>
      <c r="X18" s="367">
        <f t="shared" ref="X18:X46" si="6">(1+PPI)^(W18-YEAR)</f>
        <v>1.0556146069383956</v>
      </c>
      <c r="Y18" s="146">
        <f t="shared" si="3"/>
        <v>184414</v>
      </c>
      <c r="Z18" s="235" t="str">
        <f>IFERROR(IF(tblFuturePathway[[#This Row],[Year of Provision]]&gt;2024,VLOOKUP(tblFuturePathway[[#This Row],[Service Catchment]],'Catchment Demand - Pathway'!C$8:M$8,11,FALSE),""),"")</f>
        <v/>
      </c>
      <c r="AA18" s="234" cm="1">
        <f t="array" ref="AA1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18" s="368">
        <f>IF(AND(tblFuturePathway[[#This Row],[Spare Capacity (%)]]&gt;30%,tblFuturePathway[[#This Row],[Share of the total Cost with the same year of provision %]]&gt;20%),(1-tblFuturePathway[[#This Row],[Spare Capacity (%)]]),1)</f>
        <v>1</v>
      </c>
      <c r="AC18" s="368">
        <f>IF(tblFuturePathway[[#This Row],[Terminal Value Analysis]]&lt;0,0,tblFuturePathway[[#This Row],[Terminal Value Analysis]])</f>
        <v>1</v>
      </c>
      <c r="AD18" s="75">
        <f>ROUND(Y18+M18-tblFuturePathway[[#This Row],[Grants and Subsidies ($)]],0)</f>
        <v>1536945</v>
      </c>
      <c r="AE18" s="211">
        <f t="shared" ref="AE18:AE46" si="7">IFERROR(ROUND((Y18*X18+(M18*((1+Landind)^(W18-YEAR)))),0),0)</f>
        <v>1630459</v>
      </c>
      <c r="AF18" s="369">
        <f t="shared" si="4"/>
        <v>1372458</v>
      </c>
      <c r="AG18" s="75">
        <f>tblFuturePathway[[#This Row],[Net Present Value of Establishment Cost]]*tblFuturePathway[[#This Row],[Terminal Value Adjustment (%)]]</f>
        <v>1372458</v>
      </c>
      <c r="AH18" s="370">
        <f t="shared" si="5"/>
        <v>1372458</v>
      </c>
      <c r="AI18" s="371">
        <f>tblFuturePathway[[#This Row],[Net Present Value of Establishment Cost]]*tblFuturePathway[[#This Row],[Terminal Value Adjustment (%)]]</f>
        <v>1372458</v>
      </c>
    </row>
    <row r="19" spans="1:35">
      <c r="A19" s="191"/>
      <c r="B19" s="112" t="s">
        <v>2465</v>
      </c>
      <c r="C19" s="114" t="s">
        <v>2385</v>
      </c>
      <c r="D19" s="111" t="s">
        <v>2224</v>
      </c>
      <c r="E19" s="111" t="s">
        <v>113</v>
      </c>
      <c r="F19" s="111" t="s">
        <v>2327</v>
      </c>
      <c r="G19" s="113"/>
      <c r="H19" s="275">
        <v>123</v>
      </c>
      <c r="I19" s="276" t="s">
        <v>2224</v>
      </c>
      <c r="J19" s="112"/>
      <c r="K19" s="206">
        <v>641</v>
      </c>
      <c r="L19" s="373">
        <f>IF(tblFuturePathway[[#This Row],[Size of Land (m2)]]=0,0,tblFuturePathway[[#This Row],[Land Value]]/tblFuturePathway[[#This Row],[Size of Land (m2)]])</f>
        <v>9.9157566302652107</v>
      </c>
      <c r="M19" s="195">
        <v>6356</v>
      </c>
      <c r="N19" s="195">
        <f>tblFuturePathway[[#This Row],[Direct Construction Cost]]/tblFuturePathway[[#This Row],[Length (m)]]</f>
        <v>815.6178861788618</v>
      </c>
      <c r="O19" s="72">
        <v>100321</v>
      </c>
      <c r="P19" s="111">
        <v>2021</v>
      </c>
      <c r="Q19" s="76">
        <v>0.01</v>
      </c>
      <c r="R19" s="206"/>
      <c r="S19" s="365">
        <f t="shared" si="0"/>
        <v>23074</v>
      </c>
      <c r="T19" s="366">
        <f t="shared" si="1"/>
        <v>0.15</v>
      </c>
      <c r="U19" s="365">
        <f t="shared" si="2"/>
        <v>18509</v>
      </c>
      <c r="V19" s="273">
        <v>0</v>
      </c>
      <c r="W19" s="261">
        <v>2029</v>
      </c>
      <c r="X19" s="367">
        <f t="shared" si="6"/>
        <v>1.1552634751694639</v>
      </c>
      <c r="Y19" s="146">
        <f t="shared" si="3"/>
        <v>141904</v>
      </c>
      <c r="Z19" s="235">
        <f>IFERROR(IF(tblFuturePathway[[#This Row],[Year of Provision]]&gt;2024,VLOOKUP(tblFuturePathway[[#This Row],[Service Catchment]],'Catchment Demand - Pathway'!C$8:M$8,11,FALSE),""),"")</f>
        <v>0.33960071153808458</v>
      </c>
      <c r="AA19" s="234" cm="1">
        <f t="array" ref="AA1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4.5062035624360091E-4</v>
      </c>
      <c r="AB19" s="368">
        <f>IF(AND(tblFuturePathway[[#This Row],[Spare Capacity (%)]]&gt;30%,tblFuturePathway[[#This Row],[Share of the total Cost with the same year of provision %]]&gt;20%),(1-tblFuturePathway[[#This Row],[Spare Capacity (%)]]),1)</f>
        <v>1</v>
      </c>
      <c r="AC19" s="368">
        <f>IF(tblFuturePathway[[#This Row],[Terminal Value Analysis]]&lt;0,0,tblFuturePathway[[#This Row],[Terminal Value Analysis]])</f>
        <v>1</v>
      </c>
      <c r="AD19" s="75">
        <f>ROUND(Y19+M19-tblFuturePathway[[#This Row],[Grants and Subsidies ($)]],0)</f>
        <v>148260</v>
      </c>
      <c r="AE19" s="211">
        <f t="shared" si="7"/>
        <v>171390</v>
      </c>
      <c r="AF19" s="369">
        <f t="shared" si="4"/>
        <v>108265</v>
      </c>
      <c r="AG19" s="75">
        <f>tblFuturePathway[[#This Row],[Net Present Value of Establishment Cost]]*tblFuturePathway[[#This Row],[Terminal Value Adjustment (%)]]</f>
        <v>108265</v>
      </c>
      <c r="AH19" s="370">
        <f t="shared" si="5"/>
        <v>108265</v>
      </c>
      <c r="AI19" s="371">
        <f>tblFuturePathway[[#This Row],[Net Present Value of Establishment Cost]]*tblFuturePathway[[#This Row],[Terminal Value Adjustment (%)]]</f>
        <v>108265</v>
      </c>
    </row>
    <row r="20" spans="1:35">
      <c r="A20" s="191"/>
      <c r="B20" s="112" t="s">
        <v>2328</v>
      </c>
      <c r="C20" s="114" t="s">
        <v>2386</v>
      </c>
      <c r="D20" s="111" t="s">
        <v>2224</v>
      </c>
      <c r="E20" s="111" t="s">
        <v>113</v>
      </c>
      <c r="F20" s="111" t="s">
        <v>2329</v>
      </c>
      <c r="G20" s="113"/>
      <c r="H20" s="275">
        <v>532</v>
      </c>
      <c r="I20" s="276" t="s">
        <v>2224</v>
      </c>
      <c r="J20" s="112"/>
      <c r="K20" s="206">
        <v>3786</v>
      </c>
      <c r="L20" s="373">
        <f>IF(tblFuturePathway[[#This Row],[Size of Land (m2)]]=0,0,tblFuturePathway[[#This Row],[Land Value]]/tblFuturePathway[[#This Row],[Size of Land (m2)]])</f>
        <v>61.970153195985212</v>
      </c>
      <c r="M20" s="195">
        <v>234619</v>
      </c>
      <c r="N20" s="195">
        <f>tblFuturePathway[[#This Row],[Direct Construction Cost]]/tblFuturePathway[[#This Row],[Length (m)]]</f>
        <v>736.04323308270682</v>
      </c>
      <c r="O20" s="72">
        <v>391575</v>
      </c>
      <c r="P20" s="111">
        <v>2021</v>
      </c>
      <c r="Q20" s="76">
        <v>0.01</v>
      </c>
      <c r="R20" s="206"/>
      <c r="S20" s="365">
        <f t="shared" si="0"/>
        <v>90062</v>
      </c>
      <c r="T20" s="366">
        <f t="shared" si="1"/>
        <v>0.15</v>
      </c>
      <c r="U20" s="365">
        <f t="shared" si="2"/>
        <v>72246</v>
      </c>
      <c r="V20" s="273">
        <v>0</v>
      </c>
      <c r="W20" s="261">
        <v>2029</v>
      </c>
      <c r="X20" s="367">
        <f t="shared" si="6"/>
        <v>1.1552634751694639</v>
      </c>
      <c r="Y20" s="146">
        <f t="shared" si="3"/>
        <v>553883</v>
      </c>
      <c r="Z20" s="235">
        <f>IFERROR(IF(tblFuturePathway[[#This Row],[Year of Provision]]&gt;2024,VLOOKUP(tblFuturePathway[[#This Row],[Service Catchment]],'Catchment Demand - Pathway'!C$8:M$8,11,FALSE),""),"")</f>
        <v>0.33960071153808458</v>
      </c>
      <c r="AA20" s="234" cm="1">
        <f t="array" ref="AA2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2.4057795247891286E-3</v>
      </c>
      <c r="AB20" s="368">
        <f>IF(AND(tblFuturePathway[[#This Row],[Spare Capacity (%)]]&gt;30%,tblFuturePathway[[#This Row],[Share of the total Cost with the same year of provision %]]&gt;20%),(1-tblFuturePathway[[#This Row],[Spare Capacity (%)]]),1)</f>
        <v>1</v>
      </c>
      <c r="AC20" s="368">
        <f>IF(tblFuturePathway[[#This Row],[Terminal Value Analysis]]&lt;0,0,tblFuturePathway[[#This Row],[Terminal Value Analysis]])</f>
        <v>1</v>
      </c>
      <c r="AD20" s="75">
        <f>ROUND(Y20+M20-tblFuturePathway[[#This Row],[Grants and Subsidies ($)]],0)</f>
        <v>788502</v>
      </c>
      <c r="AE20" s="211">
        <f t="shared" si="7"/>
        <v>915016</v>
      </c>
      <c r="AF20" s="369">
        <f t="shared" si="4"/>
        <v>578007</v>
      </c>
      <c r="AG20" s="75">
        <f>tblFuturePathway[[#This Row],[Net Present Value of Establishment Cost]]*tblFuturePathway[[#This Row],[Terminal Value Adjustment (%)]]</f>
        <v>578007</v>
      </c>
      <c r="AH20" s="370">
        <f t="shared" si="5"/>
        <v>578007</v>
      </c>
      <c r="AI20" s="371">
        <f>tblFuturePathway[[#This Row],[Net Present Value of Establishment Cost]]*tblFuturePathway[[#This Row],[Terminal Value Adjustment (%)]]</f>
        <v>578007</v>
      </c>
    </row>
    <row r="21" spans="1:35">
      <c r="A21" s="191"/>
      <c r="B21" s="112" t="s">
        <v>2464</v>
      </c>
      <c r="C21" s="114" t="s">
        <v>2387</v>
      </c>
      <c r="D21" s="111" t="s">
        <v>2224</v>
      </c>
      <c r="E21" s="111" t="s">
        <v>113</v>
      </c>
      <c r="F21" s="111" t="s">
        <v>2330</v>
      </c>
      <c r="G21" s="113"/>
      <c r="H21" s="275">
        <v>439</v>
      </c>
      <c r="I21" s="276" t="s">
        <v>2224</v>
      </c>
      <c r="J21" s="112"/>
      <c r="K21" s="206">
        <v>3124</v>
      </c>
      <c r="L21" s="373">
        <f>IF(tblFuturePathway[[#This Row],[Size of Land (m2)]]=0,0,tblFuturePathway[[#This Row],[Land Value]]/tblFuturePathway[[#This Row],[Size of Land (m2)]])</f>
        <v>118.20294494238156</v>
      </c>
      <c r="M21" s="195">
        <v>369266</v>
      </c>
      <c r="N21" s="195">
        <f>tblFuturePathway[[#This Row],[Direct Construction Cost]]/tblFuturePathway[[#This Row],[Length (m)]]</f>
        <v>736.04328018223237</v>
      </c>
      <c r="O21" s="72">
        <v>323123</v>
      </c>
      <c r="P21" s="111">
        <v>2021</v>
      </c>
      <c r="Q21" s="76">
        <v>0.01</v>
      </c>
      <c r="R21" s="206"/>
      <c r="S21" s="365">
        <f t="shared" si="0"/>
        <v>74318</v>
      </c>
      <c r="T21" s="366">
        <f t="shared" si="1"/>
        <v>0.15</v>
      </c>
      <c r="U21" s="365">
        <f t="shared" si="2"/>
        <v>59616</v>
      </c>
      <c r="V21" s="273">
        <v>0</v>
      </c>
      <c r="W21" s="261">
        <v>2029</v>
      </c>
      <c r="X21" s="367">
        <f t="shared" si="6"/>
        <v>1.1552634751694639</v>
      </c>
      <c r="Y21" s="146">
        <f t="shared" si="3"/>
        <v>457057</v>
      </c>
      <c r="Z21" s="235">
        <f>IFERROR(IF(tblFuturePathway[[#This Row],[Year of Provision]]&gt;2024,VLOOKUP(tblFuturePathway[[#This Row],[Service Catchment]],'Catchment Demand - Pathway'!C$8:M$8,11,FALSE),""),"")</f>
        <v>0.33960071153808458</v>
      </c>
      <c r="AA21" s="234" cm="1">
        <f t="array" ref="AA2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2.5268245642781273E-3</v>
      </c>
      <c r="AB21" s="368">
        <f>IF(AND(tblFuturePathway[[#This Row],[Spare Capacity (%)]]&gt;30%,tblFuturePathway[[#This Row],[Share of the total Cost with the same year of provision %]]&gt;20%),(1-tblFuturePathway[[#This Row],[Spare Capacity (%)]]),1)</f>
        <v>1</v>
      </c>
      <c r="AC21" s="368">
        <f>IF(tblFuturePathway[[#This Row],[Terminal Value Analysis]]&lt;0,0,tblFuturePathway[[#This Row],[Terminal Value Analysis]])</f>
        <v>1</v>
      </c>
      <c r="AD21" s="75">
        <f>ROUND(Y21+M21-tblFuturePathway[[#This Row],[Grants and Subsidies ($)]],0)</f>
        <v>826323</v>
      </c>
      <c r="AE21" s="211">
        <f t="shared" si="7"/>
        <v>961055</v>
      </c>
      <c r="AF21" s="369">
        <f t="shared" si="4"/>
        <v>607089</v>
      </c>
      <c r="AG21" s="75">
        <f>tblFuturePathway[[#This Row],[Net Present Value of Establishment Cost]]*tblFuturePathway[[#This Row],[Terminal Value Adjustment (%)]]</f>
        <v>607089</v>
      </c>
      <c r="AH21" s="370">
        <f t="shared" si="5"/>
        <v>607089</v>
      </c>
      <c r="AI21" s="371">
        <f>tblFuturePathway[[#This Row],[Net Present Value of Establishment Cost]]*tblFuturePathway[[#This Row],[Terminal Value Adjustment (%)]]</f>
        <v>607089</v>
      </c>
    </row>
    <row r="22" spans="1:35">
      <c r="A22" s="191"/>
      <c r="B22" s="112" t="s">
        <v>2169</v>
      </c>
      <c r="C22" s="114" t="s">
        <v>2460</v>
      </c>
      <c r="D22" s="111" t="s">
        <v>2226</v>
      </c>
      <c r="E22" s="111" t="s">
        <v>113</v>
      </c>
      <c r="F22" s="111" t="s">
        <v>2332</v>
      </c>
      <c r="G22" s="113"/>
      <c r="H22" s="275">
        <v>762</v>
      </c>
      <c r="I22" s="276" t="s">
        <v>2226</v>
      </c>
      <c r="J22" s="112"/>
      <c r="K22" s="206">
        <v>0</v>
      </c>
      <c r="L22" s="373">
        <f>IF(tblFuturePathway[[#This Row],[Size of Land (m2)]]=0,0,tblFuturePathway[[#This Row],[Land Value]]/tblFuturePathway[[#This Row],[Size of Land (m2)]])</f>
        <v>0</v>
      </c>
      <c r="M22" s="195">
        <v>0</v>
      </c>
      <c r="N22" s="195">
        <f>tblFuturePathway[[#This Row],[Direct Construction Cost]]/tblFuturePathway[[#This Row],[Length (m)]]</f>
        <v>3003</v>
      </c>
      <c r="O22" s="72">
        <v>2288286</v>
      </c>
      <c r="P22" s="111">
        <v>2021</v>
      </c>
      <c r="Q22" s="76">
        <v>0.01</v>
      </c>
      <c r="R22" s="206"/>
      <c r="S22" s="365">
        <f t="shared" si="0"/>
        <v>526306</v>
      </c>
      <c r="T22" s="366">
        <f t="shared" si="1"/>
        <v>7.4999999999999997E-2</v>
      </c>
      <c r="U22" s="365">
        <f t="shared" si="2"/>
        <v>211094</v>
      </c>
      <c r="V22" s="273">
        <v>0</v>
      </c>
      <c r="W22" s="261">
        <v>2024</v>
      </c>
      <c r="X22" s="367">
        <f t="shared" si="6"/>
        <v>1.0556146069383956</v>
      </c>
      <c r="Y22" s="146">
        <f t="shared" si="3"/>
        <v>3025686</v>
      </c>
      <c r="Z22" s="235" t="str">
        <f>IFERROR(IF(tblFuturePathway[[#This Row],[Year of Provision]]&gt;2024,VLOOKUP(tblFuturePathway[[#This Row],[Service Catchment]],'Catchment Demand - Pathway'!C$8:M$8,11,FALSE),""),"")</f>
        <v/>
      </c>
      <c r="AA22" s="149" cm="1">
        <f t="array" ref="AA2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22" s="372">
        <f>IF(AND(tblFuturePathway[[#This Row],[Spare Capacity (%)]]&gt;30%,tblFuturePathway[[#This Row],[Share of the total Cost with the same year of provision %]]&gt;20%),(1-tblFuturePathway[[#This Row],[Spare Capacity (%)]]),1)</f>
        <v>1</v>
      </c>
      <c r="AC22" s="372">
        <f>IF(tblFuturePathway[[#This Row],[Terminal Value Analysis]]&lt;0,0,tblFuturePathway[[#This Row],[Terminal Value Analysis]])</f>
        <v>1</v>
      </c>
      <c r="AD22" s="204">
        <f>ROUND(Y22+M22-tblFuturePathway[[#This Row],[Grants and Subsidies ($)]],0)</f>
        <v>3025686</v>
      </c>
      <c r="AE22" s="211">
        <f>IFERROR(ROUND((Y22*X22+(M22*((1+Landind)^(W22-YEAR)))),0),0)</f>
        <v>3193958</v>
      </c>
      <c r="AF22" s="369">
        <f t="shared" si="4"/>
        <v>2688551</v>
      </c>
      <c r="AG22" s="75">
        <f>tblFuturePathway[[#This Row],[Net Present Value of Establishment Cost]]*tblFuturePathway[[#This Row],[Terminal Value Adjustment (%)]]</f>
        <v>2688551</v>
      </c>
      <c r="AH22" s="370">
        <f t="shared" si="5"/>
        <v>2688551</v>
      </c>
      <c r="AI22" s="371">
        <f>tblFuturePathway[[#This Row],[Net Present Value of Establishment Cost]]*tblFuturePathway[[#This Row],[Terminal Value Adjustment (%)]]</f>
        <v>2688551</v>
      </c>
    </row>
    <row r="23" spans="1:35">
      <c r="A23" s="191"/>
      <c r="B23" s="112" t="s">
        <v>2466</v>
      </c>
      <c r="C23" s="114" t="s">
        <v>2461</v>
      </c>
      <c r="D23" s="111" t="s">
        <v>2226</v>
      </c>
      <c r="E23" s="111" t="s">
        <v>113</v>
      </c>
      <c r="F23" s="111" t="s">
        <v>2331</v>
      </c>
      <c r="G23" s="113"/>
      <c r="H23" s="275">
        <v>431</v>
      </c>
      <c r="I23" s="276" t="s">
        <v>2226</v>
      </c>
      <c r="J23" s="112"/>
      <c r="K23" s="206">
        <v>0</v>
      </c>
      <c r="L23" s="373">
        <f>IF(tblFuturePathway[[#This Row],[Size of Land (m2)]]=0,0,tblFuturePathway[[#This Row],[Land Value]]/tblFuturePathway[[#This Row],[Size of Land (m2)]])</f>
        <v>0</v>
      </c>
      <c r="M23" s="195">
        <v>0</v>
      </c>
      <c r="N23" s="195">
        <f>tblFuturePathway[[#This Row],[Direct Construction Cost]]/tblFuturePathway[[#This Row],[Length (m)]]</f>
        <v>3003</v>
      </c>
      <c r="O23" s="72">
        <v>1294293</v>
      </c>
      <c r="P23" s="111">
        <v>2021</v>
      </c>
      <c r="Q23" s="76">
        <v>0.01</v>
      </c>
      <c r="R23" s="206"/>
      <c r="S23" s="365">
        <f t="shared" si="0"/>
        <v>297687</v>
      </c>
      <c r="T23" s="366">
        <f t="shared" si="1"/>
        <v>7.4999999999999997E-2</v>
      </c>
      <c r="U23" s="365">
        <f t="shared" si="2"/>
        <v>119399</v>
      </c>
      <c r="V23" s="273">
        <v>0</v>
      </c>
      <c r="W23" s="261">
        <v>2024</v>
      </c>
      <c r="X23" s="367">
        <f t="shared" si="6"/>
        <v>1.0556146069383956</v>
      </c>
      <c r="Y23" s="146">
        <f t="shared" si="3"/>
        <v>1711379</v>
      </c>
      <c r="Z23" s="235" t="str">
        <f>IFERROR(IF(tblFuturePathway[[#This Row],[Year of Provision]]&gt;2024,VLOOKUP(tblFuturePathway[[#This Row],[Service Catchment]],'Catchment Demand - Pathway'!C$8:M$8,11,FALSE),""),"")</f>
        <v/>
      </c>
      <c r="AA23" s="234" cm="1">
        <f t="array" ref="AA2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23" s="368">
        <f>IF(AND(tblFuturePathway[[#This Row],[Spare Capacity (%)]]&gt;30%,tblFuturePathway[[#This Row],[Share of the total Cost with the same year of provision %]]&gt;20%),(1-tblFuturePathway[[#This Row],[Spare Capacity (%)]]),1)</f>
        <v>1</v>
      </c>
      <c r="AC23" s="368">
        <f>IF(tblFuturePathway[[#This Row],[Terminal Value Analysis]]&lt;0,0,tblFuturePathway[[#This Row],[Terminal Value Analysis]])</f>
        <v>1</v>
      </c>
      <c r="AD23" s="75">
        <f>ROUND(Y23+M23-tblFuturePathway[[#This Row],[Grants and Subsidies ($)]],0)</f>
        <v>1711379</v>
      </c>
      <c r="AE23" s="211">
        <f t="shared" si="7"/>
        <v>1806557</v>
      </c>
      <c r="AF23" s="369">
        <f t="shared" si="4"/>
        <v>1520690</v>
      </c>
      <c r="AG23" s="75">
        <f>tblFuturePathway[[#This Row],[Net Present Value of Establishment Cost]]*tblFuturePathway[[#This Row],[Terminal Value Adjustment (%)]]</f>
        <v>1520690</v>
      </c>
      <c r="AH23" s="370">
        <f t="shared" si="5"/>
        <v>1520690</v>
      </c>
      <c r="AI23" s="371">
        <f>tblFuturePathway[[#This Row],[Net Present Value of Establishment Cost]]*tblFuturePathway[[#This Row],[Terminal Value Adjustment (%)]]</f>
        <v>1520690</v>
      </c>
    </row>
    <row r="24" spans="1:35">
      <c r="A24" s="191"/>
      <c r="B24" s="112" t="s">
        <v>2153</v>
      </c>
      <c r="C24" s="114" t="s">
        <v>2111</v>
      </c>
      <c r="D24" s="111" t="s">
        <v>2224</v>
      </c>
      <c r="E24" s="111" t="s">
        <v>113</v>
      </c>
      <c r="F24" s="111" t="s">
        <v>2185</v>
      </c>
      <c r="G24" s="113"/>
      <c r="H24" s="275">
        <v>836</v>
      </c>
      <c r="I24" s="276" t="s">
        <v>2224</v>
      </c>
      <c r="J24" s="112"/>
      <c r="K24" s="206">
        <v>6034</v>
      </c>
      <c r="L24" s="373">
        <f>IF(tblFuturePathway[[#This Row],[Size of Land (m2)]]=0,0,tblFuturePathway[[#This Row],[Land Value]]/tblFuturePathway[[#This Row],[Size of Land (m2)]])</f>
        <v>222.7263838249917</v>
      </c>
      <c r="M24" s="195">
        <v>1343931</v>
      </c>
      <c r="N24" s="195">
        <f>tblFuturePathway[[#This Row],[Direct Construction Cost]]/tblFuturePathway[[#This Row],[Length (m)]]</f>
        <v>736.04306220095691</v>
      </c>
      <c r="O24" s="72">
        <v>615332</v>
      </c>
      <c r="P24" s="111">
        <v>2021</v>
      </c>
      <c r="Q24" s="76">
        <v>0.01</v>
      </c>
      <c r="R24" s="206"/>
      <c r="S24" s="365">
        <f t="shared" si="0"/>
        <v>141526</v>
      </c>
      <c r="T24" s="366">
        <f t="shared" si="1"/>
        <v>0.15</v>
      </c>
      <c r="U24" s="365">
        <f t="shared" si="2"/>
        <v>113529</v>
      </c>
      <c r="V24" s="273">
        <v>0</v>
      </c>
      <c r="W24" s="261">
        <v>2029</v>
      </c>
      <c r="X24" s="367">
        <f t="shared" si="6"/>
        <v>1.1552634751694639</v>
      </c>
      <c r="Y24" s="146">
        <f t="shared" si="3"/>
        <v>870387</v>
      </c>
      <c r="Z24" s="235">
        <f>IFERROR(IF(tblFuturePathway[[#This Row],[Year of Provision]]&gt;2024,VLOOKUP(tblFuturePathway[[#This Row],[Service Catchment]],'Catchment Demand - Pathway'!C$8:M$8,11,FALSE),""),"")</f>
        <v>0.33960071153808458</v>
      </c>
      <c r="AA24" s="234" cm="1">
        <f t="array" ref="AA2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6.7874334770996721E-3</v>
      </c>
      <c r="AB24" s="368">
        <f>IF(AND(tblFuturePathway[[#This Row],[Spare Capacity (%)]]&gt;30%,tblFuturePathway[[#This Row],[Share of the total Cost with the same year of provision %]]&gt;20%),(1-tblFuturePathway[[#This Row],[Spare Capacity (%)]]),1)</f>
        <v>1</v>
      </c>
      <c r="AC24" s="368">
        <f>IF(tblFuturePathway[[#This Row],[Terminal Value Analysis]]&lt;0,0,tblFuturePathway[[#This Row],[Terminal Value Analysis]])</f>
        <v>1</v>
      </c>
      <c r="AD24" s="75">
        <f>ROUND(Y24+M24-tblFuturePathway[[#This Row],[Grants and Subsidies ($)]],0)</f>
        <v>2214318</v>
      </c>
      <c r="AE24" s="211">
        <f t="shared" si="7"/>
        <v>2581538</v>
      </c>
      <c r="AF24" s="369">
        <f t="shared" si="4"/>
        <v>1630733</v>
      </c>
      <c r="AG24" s="75">
        <f>tblFuturePathway[[#This Row],[Net Present Value of Establishment Cost]]*tblFuturePathway[[#This Row],[Terminal Value Adjustment (%)]]</f>
        <v>1630733</v>
      </c>
      <c r="AH24" s="370">
        <f t="shared" si="5"/>
        <v>1630733</v>
      </c>
      <c r="AI24" s="371">
        <f>tblFuturePathway[[#This Row],[Net Present Value of Establishment Cost]]*tblFuturePathway[[#This Row],[Terminal Value Adjustment (%)]]</f>
        <v>1630733</v>
      </c>
    </row>
    <row r="25" spans="1:35">
      <c r="A25" s="191"/>
      <c r="B25" s="112" t="s">
        <v>2154</v>
      </c>
      <c r="C25" s="114" t="s">
        <v>2112</v>
      </c>
      <c r="D25" s="111" t="s">
        <v>2224</v>
      </c>
      <c r="E25" s="111" t="s">
        <v>113</v>
      </c>
      <c r="F25" s="111" t="s">
        <v>2186</v>
      </c>
      <c r="G25" s="113"/>
      <c r="H25" s="275">
        <v>66</v>
      </c>
      <c r="I25" s="276" t="s">
        <v>2224</v>
      </c>
      <c r="J25" s="112"/>
      <c r="K25" s="206">
        <v>529</v>
      </c>
      <c r="L25" s="373">
        <f>IF(tblFuturePathway[[#This Row],[Size of Land (m2)]]=0,0,tblFuturePathway[[#This Row],[Land Value]]/tblFuturePathway[[#This Row],[Size of Land (m2)]])</f>
        <v>9.175803402646503</v>
      </c>
      <c r="M25" s="195">
        <v>4854</v>
      </c>
      <c r="N25" s="195">
        <f>tblFuturePathway[[#This Row],[Direct Construction Cost]]/tblFuturePathway[[#This Row],[Length (m)]]</f>
        <v>994.65151515151513</v>
      </c>
      <c r="O25" s="72">
        <v>65647</v>
      </c>
      <c r="P25" s="111">
        <v>2021</v>
      </c>
      <c r="Q25" s="76">
        <v>0.01</v>
      </c>
      <c r="R25" s="206"/>
      <c r="S25" s="365">
        <f t="shared" si="0"/>
        <v>15099</v>
      </c>
      <c r="T25" s="366">
        <f t="shared" si="1"/>
        <v>7.4999999999999997E-2</v>
      </c>
      <c r="U25" s="365">
        <f t="shared" si="2"/>
        <v>6056</v>
      </c>
      <c r="V25" s="273">
        <v>0</v>
      </c>
      <c r="W25" s="261">
        <v>2024</v>
      </c>
      <c r="X25" s="367">
        <f t="shared" si="6"/>
        <v>1.0556146069383956</v>
      </c>
      <c r="Y25" s="146">
        <f t="shared" si="3"/>
        <v>86802</v>
      </c>
      <c r="Z25" s="235" t="str">
        <f>IFERROR(IF(tblFuturePathway[[#This Row],[Year of Provision]]&gt;2024,VLOOKUP(tblFuturePathway[[#This Row],[Service Catchment]],'Catchment Demand - Pathway'!C$8:M$8,11,FALSE),""),"")</f>
        <v/>
      </c>
      <c r="AA25" s="234" cm="1">
        <f t="array" ref="AA2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25" s="368">
        <f>IF(AND(tblFuturePathway[[#This Row],[Spare Capacity (%)]]&gt;30%,tblFuturePathway[[#This Row],[Share of the total Cost with the same year of provision %]]&gt;20%),(1-tblFuturePathway[[#This Row],[Spare Capacity (%)]]),1)</f>
        <v>1</v>
      </c>
      <c r="AC25" s="368">
        <f>IF(tblFuturePathway[[#This Row],[Terminal Value Analysis]]&lt;0,0,tblFuturePathway[[#This Row],[Terminal Value Analysis]])</f>
        <v>1</v>
      </c>
      <c r="AD25" s="75">
        <f>ROUND(Y25+M25-tblFuturePathway[[#This Row],[Grants and Subsidies ($)]],0)</f>
        <v>91656</v>
      </c>
      <c r="AE25" s="211">
        <f t="shared" si="7"/>
        <v>96782</v>
      </c>
      <c r="AF25" s="369">
        <f t="shared" si="4"/>
        <v>81467</v>
      </c>
      <c r="AG25" s="75">
        <f>tblFuturePathway[[#This Row],[Net Present Value of Establishment Cost]]*tblFuturePathway[[#This Row],[Terminal Value Adjustment (%)]]</f>
        <v>81467</v>
      </c>
      <c r="AH25" s="370">
        <f t="shared" si="5"/>
        <v>81467</v>
      </c>
      <c r="AI25" s="371">
        <f>tblFuturePathway[[#This Row],[Net Present Value of Establishment Cost]]*tblFuturePathway[[#This Row],[Terminal Value Adjustment (%)]]</f>
        <v>81467</v>
      </c>
    </row>
    <row r="26" spans="1:35">
      <c r="A26" s="191"/>
      <c r="B26" s="112" t="s">
        <v>2154</v>
      </c>
      <c r="C26" s="114" t="s">
        <v>2113</v>
      </c>
      <c r="D26" s="111" t="s">
        <v>2224</v>
      </c>
      <c r="E26" s="111" t="s">
        <v>113</v>
      </c>
      <c r="F26" s="111" t="s">
        <v>2187</v>
      </c>
      <c r="G26" s="113"/>
      <c r="H26" s="275">
        <v>190</v>
      </c>
      <c r="I26" s="276" t="s">
        <v>2224</v>
      </c>
      <c r="J26" s="112"/>
      <c r="K26" s="206">
        <v>1363</v>
      </c>
      <c r="L26" s="373">
        <f>IF(tblFuturePathway[[#This Row],[Size of Land (m2)]]=0,0,tblFuturePathway[[#This Row],[Land Value]]/tblFuturePathway[[#This Row],[Size of Land (m2)]])</f>
        <v>4.7131327953044755</v>
      </c>
      <c r="M26" s="195">
        <v>6424</v>
      </c>
      <c r="N26" s="195">
        <f>tblFuturePathway[[#This Row],[Direct Construction Cost]]/tblFuturePathway[[#This Row],[Length (m)]]</f>
        <v>815.61578947368423</v>
      </c>
      <c r="O26" s="72">
        <v>154967</v>
      </c>
      <c r="P26" s="111">
        <v>2021</v>
      </c>
      <c r="Q26" s="76">
        <v>0.01</v>
      </c>
      <c r="R26" s="206"/>
      <c r="S26" s="365">
        <f t="shared" si="0"/>
        <v>35642</v>
      </c>
      <c r="T26" s="366">
        <f t="shared" si="1"/>
        <v>7.4999999999999997E-2</v>
      </c>
      <c r="U26" s="365">
        <f t="shared" si="2"/>
        <v>14296</v>
      </c>
      <c r="V26" s="273">
        <v>0</v>
      </c>
      <c r="W26" s="261">
        <v>2024</v>
      </c>
      <c r="X26" s="367">
        <f t="shared" si="6"/>
        <v>1.0556146069383956</v>
      </c>
      <c r="Y26" s="146">
        <f t="shared" si="3"/>
        <v>204905</v>
      </c>
      <c r="Z26" s="235" t="str">
        <f>IFERROR(IF(tblFuturePathway[[#This Row],[Year of Provision]]&gt;2024,VLOOKUP(tblFuturePathway[[#This Row],[Service Catchment]],'Catchment Demand - Pathway'!C$8:M$8,11,FALSE),""),"")</f>
        <v/>
      </c>
      <c r="AA26" s="234" cm="1">
        <f t="array" ref="AA2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26" s="368">
        <f>IF(AND(tblFuturePathway[[#This Row],[Spare Capacity (%)]]&gt;30%,tblFuturePathway[[#This Row],[Share of the total Cost with the same year of provision %]]&gt;20%),(1-tblFuturePathway[[#This Row],[Spare Capacity (%)]]),1)</f>
        <v>1</v>
      </c>
      <c r="AC26" s="368">
        <f>IF(tblFuturePathway[[#This Row],[Terminal Value Analysis]]&lt;0,0,tblFuturePathway[[#This Row],[Terminal Value Analysis]])</f>
        <v>1</v>
      </c>
      <c r="AD26" s="75">
        <f>ROUND(Y26+M26-tblFuturePathway[[#This Row],[Grants and Subsidies ($)]],0)</f>
        <v>211329</v>
      </c>
      <c r="AE26" s="211">
        <f t="shared" si="7"/>
        <v>223120</v>
      </c>
      <c r="AF26" s="369">
        <f t="shared" si="4"/>
        <v>187814</v>
      </c>
      <c r="AG26" s="75">
        <f>tblFuturePathway[[#This Row],[Net Present Value of Establishment Cost]]*tblFuturePathway[[#This Row],[Terminal Value Adjustment (%)]]</f>
        <v>187814</v>
      </c>
      <c r="AH26" s="370">
        <f t="shared" si="5"/>
        <v>187814</v>
      </c>
      <c r="AI26" s="371">
        <f>tblFuturePathway[[#This Row],[Net Present Value of Establishment Cost]]*tblFuturePathway[[#This Row],[Terminal Value Adjustment (%)]]</f>
        <v>187814</v>
      </c>
    </row>
    <row r="27" spans="1:35">
      <c r="A27" s="191"/>
      <c r="B27" s="112" t="s">
        <v>2155</v>
      </c>
      <c r="C27" s="114" t="s">
        <v>2114</v>
      </c>
      <c r="D27" s="111" t="s">
        <v>2224</v>
      </c>
      <c r="E27" s="111" t="s">
        <v>113</v>
      </c>
      <c r="F27" s="111" t="s">
        <v>2188</v>
      </c>
      <c r="G27" s="113"/>
      <c r="H27" s="275">
        <v>442</v>
      </c>
      <c r="I27" s="276" t="s">
        <v>2224</v>
      </c>
      <c r="J27" s="112"/>
      <c r="K27" s="206">
        <v>3525</v>
      </c>
      <c r="L27" s="373">
        <f>IF(tblFuturePathway[[#This Row],[Size of Land (m2)]]=0,0,tblFuturePathway[[#This Row],[Land Value]]/tblFuturePathway[[#This Row],[Size of Land (m2)]])</f>
        <v>254.11234042553193</v>
      </c>
      <c r="M27" s="195">
        <v>895746</v>
      </c>
      <c r="N27" s="195">
        <f>tblFuturePathway[[#This Row],[Direct Construction Cost]]/tblFuturePathway[[#This Row],[Length (m)]]</f>
        <v>736.04298642533934</v>
      </c>
      <c r="O27" s="72">
        <v>325331</v>
      </c>
      <c r="P27" s="111">
        <v>2021</v>
      </c>
      <c r="Q27" s="76">
        <v>0.01</v>
      </c>
      <c r="R27" s="206"/>
      <c r="S27" s="365">
        <f t="shared" si="0"/>
        <v>74826</v>
      </c>
      <c r="T27" s="366">
        <f t="shared" si="1"/>
        <v>0.15</v>
      </c>
      <c r="U27" s="365">
        <f t="shared" si="2"/>
        <v>60024</v>
      </c>
      <c r="V27" s="273">
        <v>0</v>
      </c>
      <c r="W27" s="261">
        <v>2029</v>
      </c>
      <c r="X27" s="367">
        <f t="shared" si="6"/>
        <v>1.1552634751694639</v>
      </c>
      <c r="Y27" s="146">
        <f t="shared" si="3"/>
        <v>460181</v>
      </c>
      <c r="Z27" s="235">
        <f>IFERROR(IF(tblFuturePathway[[#This Row],[Year of Provision]]&gt;2024,VLOOKUP(tblFuturePathway[[#This Row],[Service Catchment]],'Catchment Demand - Pathway'!C$8:M$8,11,FALSE),""),"")</f>
        <v>0.33960071153808458</v>
      </c>
      <c r="AA27" s="234" cm="1">
        <f t="array" ref="AA2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4.1595882074561136E-3</v>
      </c>
      <c r="AB27" s="368">
        <f>IF(AND(tblFuturePathway[[#This Row],[Spare Capacity (%)]]&gt;30%,tblFuturePathway[[#This Row],[Share of the total Cost with the same year of provision %]]&gt;20%),(1-tblFuturePathway[[#This Row],[Spare Capacity (%)]]),1)</f>
        <v>1</v>
      </c>
      <c r="AC27" s="368">
        <f>IF(tblFuturePathway[[#This Row],[Terminal Value Analysis]]&lt;0,0,tblFuturePathway[[#This Row],[Terminal Value Analysis]])</f>
        <v>1</v>
      </c>
      <c r="AD27" s="75">
        <f>ROUND(Y27+M27-tblFuturePathway[[#This Row],[Grants and Subsidies ($)]],0)</f>
        <v>1355927</v>
      </c>
      <c r="AE27" s="211">
        <f t="shared" si="7"/>
        <v>1582061</v>
      </c>
      <c r="AF27" s="369">
        <f t="shared" si="4"/>
        <v>999373</v>
      </c>
      <c r="AG27" s="75">
        <f>tblFuturePathway[[#This Row],[Net Present Value of Establishment Cost]]*tblFuturePathway[[#This Row],[Terminal Value Adjustment (%)]]</f>
        <v>999373</v>
      </c>
      <c r="AH27" s="370">
        <f t="shared" si="5"/>
        <v>999373</v>
      </c>
      <c r="AI27" s="371">
        <f>tblFuturePathway[[#This Row],[Net Present Value of Establishment Cost]]*tblFuturePathway[[#This Row],[Terminal Value Adjustment (%)]]</f>
        <v>999373</v>
      </c>
    </row>
    <row r="28" spans="1:35">
      <c r="A28" s="191"/>
      <c r="B28" s="112" t="s">
        <v>2155</v>
      </c>
      <c r="C28" s="114" t="s">
        <v>2388</v>
      </c>
      <c r="D28" s="111" t="s">
        <v>2225</v>
      </c>
      <c r="E28" s="111" t="s">
        <v>113</v>
      </c>
      <c r="F28" s="111" t="s">
        <v>2333</v>
      </c>
      <c r="G28" s="113"/>
      <c r="H28" s="275">
        <v>858</v>
      </c>
      <c r="I28" s="276" t="s">
        <v>2225</v>
      </c>
      <c r="J28" s="112"/>
      <c r="K28" s="206">
        <v>6833</v>
      </c>
      <c r="L28" s="373">
        <f>IF(tblFuturePathway[[#This Row],[Size of Land (m2)]]=0,0,tblFuturePathway[[#This Row],[Land Value]]/tblFuturePathway[[#This Row],[Size of Land (m2)]])</f>
        <v>25.359724864627541</v>
      </c>
      <c r="M28" s="195">
        <v>173283</v>
      </c>
      <c r="N28" s="195">
        <f>tblFuturePathway[[#This Row],[Direct Construction Cost]]/tblFuturePathway[[#This Row],[Length (m)]]</f>
        <v>736.04312354312356</v>
      </c>
      <c r="O28" s="72">
        <v>631525</v>
      </c>
      <c r="P28" s="111">
        <v>2021</v>
      </c>
      <c r="Q28" s="76">
        <v>0.01</v>
      </c>
      <c r="R28" s="206"/>
      <c r="S28" s="365">
        <f t="shared" si="0"/>
        <v>145251</v>
      </c>
      <c r="T28" s="366">
        <f t="shared" si="1"/>
        <v>0.2</v>
      </c>
      <c r="U28" s="365">
        <f t="shared" si="2"/>
        <v>155355</v>
      </c>
      <c r="V28" s="273">
        <v>0</v>
      </c>
      <c r="W28" s="261">
        <v>2034</v>
      </c>
      <c r="X28" s="367">
        <f t="shared" si="6"/>
        <v>1.2643190879401258</v>
      </c>
      <c r="Y28" s="146">
        <f t="shared" si="3"/>
        <v>932131</v>
      </c>
      <c r="Z28" s="235">
        <f>IFERROR(IF(tblFuturePathway[[#This Row],[Year of Provision]]&gt;2024,VLOOKUP(tblFuturePathway[[#This Row],[Service Catchment]],'Catchment Demand - Pathway'!C$8:M$8,11,FALSE),""),"")</f>
        <v>0.33960071153808458</v>
      </c>
      <c r="AA28" s="234" cm="1">
        <f t="array" ref="AA2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0.24841528483039785</v>
      </c>
      <c r="AB28" s="368">
        <f>IF(AND(tblFuturePathway[[#This Row],[Spare Capacity (%)]]&gt;30%,tblFuturePathway[[#This Row],[Share of the total Cost with the same year of provision %]]&gt;20%),(1-tblFuturePathway[[#This Row],[Spare Capacity (%)]]),1)</f>
        <v>0.66039928846191542</v>
      </c>
      <c r="AC28" s="368">
        <f>IF(tblFuturePathway[[#This Row],[Terminal Value Analysis]]&lt;0,0,tblFuturePathway[[#This Row],[Terminal Value Analysis]])</f>
        <v>0.66039928846191542</v>
      </c>
      <c r="AD28" s="75">
        <f>ROUND(Y28+M28-tblFuturePathway[[#This Row],[Grants and Subsidies ($)]],0)</f>
        <v>1105414</v>
      </c>
      <c r="AE28" s="211">
        <f t="shared" si="7"/>
        <v>1402991</v>
      </c>
      <c r="AF28" s="369">
        <f t="shared" si="4"/>
        <v>665081</v>
      </c>
      <c r="AG28" s="75">
        <f>tblFuturePathway[[#This Row],[Net Present Value of Establishment Cost]]*tblFuturePathway[[#This Row],[Terminal Value Adjustment (%)]]</f>
        <v>439219.01916953915</v>
      </c>
      <c r="AH28" s="370">
        <f t="shared" si="5"/>
        <v>665081</v>
      </c>
      <c r="AI28" s="371">
        <f>tblFuturePathway[[#This Row],[Net Present Value of Establishment Cost]]*tblFuturePathway[[#This Row],[Terminal Value Adjustment (%)]]</f>
        <v>439219.01916953915</v>
      </c>
    </row>
    <row r="29" spans="1:35">
      <c r="A29" s="191"/>
      <c r="B29" s="112" t="s">
        <v>2156</v>
      </c>
      <c r="C29" s="114" t="s">
        <v>2115</v>
      </c>
      <c r="D29" s="111" t="s">
        <v>2225</v>
      </c>
      <c r="E29" s="111" t="s">
        <v>113</v>
      </c>
      <c r="F29" s="111" t="s">
        <v>2189</v>
      </c>
      <c r="G29" s="113"/>
      <c r="H29" s="275">
        <v>145</v>
      </c>
      <c r="I29" s="276" t="s">
        <v>2225</v>
      </c>
      <c r="J29" s="112"/>
      <c r="K29" s="206">
        <v>824</v>
      </c>
      <c r="L29" s="373">
        <f>IF(tblFuturePathway[[#This Row],[Size of Land (m2)]]=0,0,tblFuturePathway[[#This Row],[Land Value]]/tblFuturePathway[[#This Row],[Size of Land (m2)]])</f>
        <v>1.3555825242718447</v>
      </c>
      <c r="M29" s="195">
        <v>1117</v>
      </c>
      <c r="N29" s="195">
        <f>tblFuturePathway[[#This Row],[Direct Construction Cost]]/tblFuturePathway[[#This Row],[Length (m)]]</f>
        <v>815.6137931034483</v>
      </c>
      <c r="O29" s="72">
        <v>118264</v>
      </c>
      <c r="P29" s="111">
        <v>2021</v>
      </c>
      <c r="Q29" s="76">
        <v>0.01</v>
      </c>
      <c r="R29" s="206"/>
      <c r="S29" s="365">
        <f t="shared" si="0"/>
        <v>27201</v>
      </c>
      <c r="T29" s="366">
        <f t="shared" si="1"/>
        <v>0.2</v>
      </c>
      <c r="U29" s="365">
        <f t="shared" si="2"/>
        <v>29093</v>
      </c>
      <c r="V29" s="273">
        <v>0</v>
      </c>
      <c r="W29" s="261">
        <v>2034</v>
      </c>
      <c r="X29" s="367">
        <f t="shared" si="6"/>
        <v>1.2643190879401258</v>
      </c>
      <c r="Y29" s="146">
        <f t="shared" si="3"/>
        <v>174558</v>
      </c>
      <c r="Z29" s="235">
        <f>IFERROR(IF(tblFuturePathway[[#This Row],[Year of Provision]]&gt;2024,VLOOKUP(tblFuturePathway[[#This Row],[Service Catchment]],'Catchment Demand - Pathway'!C$8:M$8,11,FALSE),""),"")</f>
        <v>0.33960071153808458</v>
      </c>
      <c r="AA29" s="234" cm="1">
        <f t="array" ref="AA2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3.9332983477726589E-2</v>
      </c>
      <c r="AB29" s="368">
        <f>IF(AND(tblFuturePathway[[#This Row],[Spare Capacity (%)]]&gt;30%,tblFuturePathway[[#This Row],[Share of the total Cost with the same year of provision %]]&gt;20%),(1-tblFuturePathway[[#This Row],[Spare Capacity (%)]]),1)</f>
        <v>1</v>
      </c>
      <c r="AC29" s="368">
        <f>IF(tblFuturePathway[[#This Row],[Terminal Value Analysis]]&lt;0,0,tblFuturePathway[[#This Row],[Terminal Value Analysis]])</f>
        <v>1</v>
      </c>
      <c r="AD29" s="75">
        <f>ROUND(Y29+M29-tblFuturePathway[[#This Row],[Grants and Subsidies ($)]],0)</f>
        <v>175675</v>
      </c>
      <c r="AE29" s="211">
        <f t="shared" si="7"/>
        <v>222144</v>
      </c>
      <c r="AF29" s="369">
        <f t="shared" si="4"/>
        <v>105306</v>
      </c>
      <c r="AG29" s="75">
        <f>tblFuturePathway[[#This Row],[Net Present Value of Establishment Cost]]*tblFuturePathway[[#This Row],[Terminal Value Adjustment (%)]]</f>
        <v>105306</v>
      </c>
      <c r="AH29" s="370">
        <f t="shared" si="5"/>
        <v>105306</v>
      </c>
      <c r="AI29" s="371">
        <f>tblFuturePathway[[#This Row],[Net Present Value of Establishment Cost]]*tblFuturePathway[[#This Row],[Terminal Value Adjustment (%)]]</f>
        <v>105306</v>
      </c>
    </row>
    <row r="30" spans="1:35">
      <c r="A30" s="191"/>
      <c r="B30" s="112" t="s">
        <v>2156</v>
      </c>
      <c r="C30" s="114" t="s">
        <v>2389</v>
      </c>
      <c r="D30" s="111" t="s">
        <v>2225</v>
      </c>
      <c r="E30" s="111" t="s">
        <v>113</v>
      </c>
      <c r="F30" s="111" t="s">
        <v>2476</v>
      </c>
      <c r="G30" s="113"/>
      <c r="H30" s="275">
        <v>387</v>
      </c>
      <c r="I30" s="276" t="s">
        <v>2225</v>
      </c>
      <c r="J30" s="112"/>
      <c r="K30" s="206">
        <v>3074</v>
      </c>
      <c r="L30" s="373">
        <f>IF(tblFuturePathway[[#This Row],[Size of Land (m2)]]=0,0,tblFuturePathway[[#This Row],[Land Value]]/tblFuturePathway[[#This Row],[Size of Land (m2)]])</f>
        <v>0</v>
      </c>
      <c r="M30" s="195">
        <v>0</v>
      </c>
      <c r="N30" s="195">
        <f>tblFuturePathway[[#This Row],[Direct Construction Cost]]/tblFuturePathway[[#This Row],[Length (m)]]</f>
        <v>736.0439276485788</v>
      </c>
      <c r="O30" s="72">
        <v>284849</v>
      </c>
      <c r="P30" s="111">
        <v>2021</v>
      </c>
      <c r="Q30" s="76">
        <v>0.01</v>
      </c>
      <c r="R30" s="206"/>
      <c r="S30" s="365">
        <f t="shared" si="0"/>
        <v>65515</v>
      </c>
      <c r="T30" s="366">
        <f t="shared" si="1"/>
        <v>0.15</v>
      </c>
      <c r="U30" s="365">
        <f t="shared" si="2"/>
        <v>52555</v>
      </c>
      <c r="V30" s="273">
        <v>0</v>
      </c>
      <c r="W30" s="261">
        <v>2029</v>
      </c>
      <c r="X30" s="367">
        <f t="shared" si="6"/>
        <v>1.1552634751694639</v>
      </c>
      <c r="Y30" s="146">
        <f t="shared" si="3"/>
        <v>402919</v>
      </c>
      <c r="Z30" s="235">
        <f>IFERROR(IF(tblFuturePathway[[#This Row],[Year of Provision]]&gt;2024,VLOOKUP(tblFuturePathway[[#This Row],[Service Catchment]],'Catchment Demand - Pathway'!C$8:M$8,11,FALSE),""),"")</f>
        <v>0.33960071153808458</v>
      </c>
      <c r="AA30" s="234" cm="1">
        <f t="array" ref="AA3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1.2238443477500202E-3</v>
      </c>
      <c r="AB30" s="368">
        <f>IF(AND(tblFuturePathway[[#This Row],[Spare Capacity (%)]]&gt;30%,tblFuturePathway[[#This Row],[Share of the total Cost with the same year of provision %]]&gt;20%),(1-tblFuturePathway[[#This Row],[Spare Capacity (%)]]),1)</f>
        <v>1</v>
      </c>
      <c r="AC30" s="368">
        <f>IF(tblFuturePathway[[#This Row],[Terminal Value Analysis]]&lt;0,0,tblFuturePathway[[#This Row],[Terminal Value Analysis]])</f>
        <v>1</v>
      </c>
      <c r="AD30" s="75">
        <f>ROUND(Y30+M30-tblFuturePathway[[#This Row],[Grants and Subsidies ($)]],0)</f>
        <v>402919</v>
      </c>
      <c r="AE30" s="211">
        <f t="shared" si="7"/>
        <v>465478</v>
      </c>
      <c r="AF30" s="369">
        <f t="shared" si="4"/>
        <v>294038</v>
      </c>
      <c r="AG30" s="75">
        <f>tblFuturePathway[[#This Row],[Net Present Value of Establishment Cost]]*tblFuturePathway[[#This Row],[Terminal Value Adjustment (%)]]</f>
        <v>294038</v>
      </c>
      <c r="AH30" s="370">
        <f t="shared" si="5"/>
        <v>294038</v>
      </c>
      <c r="AI30" s="371">
        <f>tblFuturePathway[[#This Row],[Net Present Value of Establishment Cost]]*tblFuturePathway[[#This Row],[Terminal Value Adjustment (%)]]</f>
        <v>294038</v>
      </c>
    </row>
    <row r="31" spans="1:35">
      <c r="A31" s="191"/>
      <c r="B31" s="112" t="s">
        <v>2157</v>
      </c>
      <c r="C31" s="114" t="s">
        <v>2116</v>
      </c>
      <c r="D31" s="111" t="s">
        <v>2224</v>
      </c>
      <c r="E31" s="111" t="s">
        <v>113</v>
      </c>
      <c r="F31" s="111" t="s">
        <v>2334</v>
      </c>
      <c r="G31" s="113"/>
      <c r="H31" s="275">
        <v>789</v>
      </c>
      <c r="I31" s="276" t="s">
        <v>2224</v>
      </c>
      <c r="J31" s="112"/>
      <c r="K31" s="206">
        <v>5943</v>
      </c>
      <c r="L31" s="373">
        <f>IF(tblFuturePathway[[#This Row],[Size of Land (m2)]]=0,0,tblFuturePathway[[#This Row],[Land Value]]/tblFuturePathway[[#This Row],[Size of Land (m2)]])</f>
        <v>74.928487295978456</v>
      </c>
      <c r="M31" s="195">
        <v>445300</v>
      </c>
      <c r="N31" s="195">
        <f>tblFuturePathway[[#This Row],[Direct Construction Cost]]/tblFuturePathway[[#This Row],[Length (m)]]</f>
        <v>736.04309252218002</v>
      </c>
      <c r="O31" s="72">
        <v>580738</v>
      </c>
      <c r="P31" s="111">
        <v>2021</v>
      </c>
      <c r="Q31" s="76">
        <v>0.01</v>
      </c>
      <c r="R31" s="206"/>
      <c r="S31" s="365">
        <f t="shared" si="0"/>
        <v>133570</v>
      </c>
      <c r="T31" s="366">
        <f t="shared" si="1"/>
        <v>7.4999999999999997E-2</v>
      </c>
      <c r="U31" s="365">
        <f t="shared" si="2"/>
        <v>53573</v>
      </c>
      <c r="V31" s="273">
        <v>0</v>
      </c>
      <c r="W31" s="261">
        <v>2024</v>
      </c>
      <c r="X31" s="367">
        <f t="shared" si="6"/>
        <v>1.0556146069383956</v>
      </c>
      <c r="Y31" s="146">
        <f t="shared" si="3"/>
        <v>767881</v>
      </c>
      <c r="Z31" s="235" t="str">
        <f>IFERROR(IF(tblFuturePathway[[#This Row],[Year of Provision]]&gt;2024,VLOOKUP(tblFuturePathway[[#This Row],[Service Catchment]],'Catchment Demand - Pathway'!C$8:M$8,11,FALSE),""),"")</f>
        <v/>
      </c>
      <c r="AA31" s="234" cm="1">
        <f t="array" ref="AA3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31" s="368">
        <f>IF(AND(tblFuturePathway[[#This Row],[Spare Capacity (%)]]&gt;30%,tblFuturePathway[[#This Row],[Share of the total Cost with the same year of provision %]]&gt;20%),(1-tblFuturePathway[[#This Row],[Spare Capacity (%)]]),1)</f>
        <v>1</v>
      </c>
      <c r="AC31" s="368">
        <f>IF(tblFuturePathway[[#This Row],[Terminal Value Analysis]]&lt;0,0,tblFuturePathway[[#This Row],[Terminal Value Analysis]])</f>
        <v>1</v>
      </c>
      <c r="AD31" s="75">
        <f>ROUND(Y31+M31-tblFuturePathway[[#This Row],[Grants and Subsidies ($)]],0)</f>
        <v>1213181</v>
      </c>
      <c r="AE31" s="211">
        <f t="shared" si="7"/>
        <v>1283298</v>
      </c>
      <c r="AF31" s="369">
        <f t="shared" si="4"/>
        <v>1080231</v>
      </c>
      <c r="AG31" s="75">
        <f>tblFuturePathway[[#This Row],[Net Present Value of Establishment Cost]]*tblFuturePathway[[#This Row],[Terminal Value Adjustment (%)]]</f>
        <v>1080231</v>
      </c>
      <c r="AH31" s="370">
        <f t="shared" si="5"/>
        <v>1080231</v>
      </c>
      <c r="AI31" s="371">
        <f>tblFuturePathway[[#This Row],[Net Present Value of Establishment Cost]]*tblFuturePathway[[#This Row],[Terminal Value Adjustment (%)]]</f>
        <v>1080231</v>
      </c>
    </row>
    <row r="32" spans="1:35">
      <c r="A32" s="191"/>
      <c r="B32" s="112" t="s">
        <v>2157</v>
      </c>
      <c r="C32" s="114" t="s">
        <v>2467</v>
      </c>
      <c r="D32" s="111" t="s">
        <v>2225</v>
      </c>
      <c r="E32" s="111" t="s">
        <v>113</v>
      </c>
      <c r="F32" s="111" t="s">
        <v>2335</v>
      </c>
      <c r="G32" s="113"/>
      <c r="H32" s="275">
        <v>706</v>
      </c>
      <c r="I32" s="276" t="s">
        <v>2225</v>
      </c>
      <c r="J32" s="112"/>
      <c r="K32" s="206">
        <v>2</v>
      </c>
      <c r="L32" s="373">
        <f>IF(tblFuturePathway[[#This Row],[Size of Land (m2)]]=0,0,tblFuturePathway[[#This Row],[Land Value]]/tblFuturePathway[[#This Row],[Size of Land (m2)]])</f>
        <v>513</v>
      </c>
      <c r="M32" s="195">
        <v>1026</v>
      </c>
      <c r="N32" s="195">
        <f>tblFuturePathway[[#This Row],[Direct Construction Cost]]/tblFuturePathway[[#This Row],[Length (m)]]</f>
        <v>736.04249291784697</v>
      </c>
      <c r="O32" s="72">
        <v>519646</v>
      </c>
      <c r="P32" s="111">
        <v>2021</v>
      </c>
      <c r="Q32" s="76">
        <v>0.01</v>
      </c>
      <c r="R32" s="206"/>
      <c r="S32" s="365">
        <f t="shared" si="0"/>
        <v>119519</v>
      </c>
      <c r="T32" s="366">
        <f t="shared" si="1"/>
        <v>0.15</v>
      </c>
      <c r="U32" s="365">
        <f t="shared" si="2"/>
        <v>95875</v>
      </c>
      <c r="V32" s="273">
        <v>0</v>
      </c>
      <c r="W32" s="261">
        <v>2029</v>
      </c>
      <c r="X32" s="367">
        <f t="shared" si="6"/>
        <v>1.1552634751694639</v>
      </c>
      <c r="Y32" s="146">
        <f t="shared" si="3"/>
        <v>735040</v>
      </c>
      <c r="Z32" s="235">
        <f>IFERROR(IF(tblFuturePathway[[#This Row],[Year of Provision]]&gt;2024,VLOOKUP(tblFuturePathway[[#This Row],[Service Catchment]],'Catchment Demand - Pathway'!C$8:M$8,11,FALSE),""),"")</f>
        <v>0.33960071153808458</v>
      </c>
      <c r="AA32" s="234" cm="1">
        <f t="array" ref="AA3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2.2358036867225683E-3</v>
      </c>
      <c r="AB32" s="368">
        <f>IF(AND(tblFuturePathway[[#This Row],[Spare Capacity (%)]]&gt;30%,tblFuturePathway[[#This Row],[Share of the total Cost with the same year of provision %]]&gt;20%),(1-tblFuturePathway[[#This Row],[Spare Capacity (%)]]),1)</f>
        <v>1</v>
      </c>
      <c r="AC32" s="368">
        <f>IF(tblFuturePathway[[#This Row],[Terminal Value Analysis]]&lt;0,0,tblFuturePathway[[#This Row],[Terminal Value Analysis]])</f>
        <v>1</v>
      </c>
      <c r="AD32" s="75">
        <f>ROUND(Y32+M32-tblFuturePathway[[#This Row],[Grants and Subsidies ($)]],0)</f>
        <v>736066</v>
      </c>
      <c r="AE32" s="211">
        <f t="shared" si="7"/>
        <v>850368</v>
      </c>
      <c r="AF32" s="369">
        <f t="shared" si="4"/>
        <v>537169</v>
      </c>
      <c r="AG32" s="75">
        <f>tblFuturePathway[[#This Row],[Net Present Value of Establishment Cost]]*tblFuturePathway[[#This Row],[Terminal Value Adjustment (%)]]</f>
        <v>537169</v>
      </c>
      <c r="AH32" s="370">
        <f t="shared" si="5"/>
        <v>537169</v>
      </c>
      <c r="AI32" s="371">
        <f>tblFuturePathway[[#This Row],[Net Present Value of Establishment Cost]]*tblFuturePathway[[#This Row],[Terminal Value Adjustment (%)]]</f>
        <v>537169</v>
      </c>
    </row>
    <row r="33" spans="1:35">
      <c r="A33" s="191"/>
      <c r="B33" s="112" t="s">
        <v>2159</v>
      </c>
      <c r="C33" s="114" t="s">
        <v>2119</v>
      </c>
      <c r="D33" s="111" t="s">
        <v>2224</v>
      </c>
      <c r="E33" s="111" t="s">
        <v>113</v>
      </c>
      <c r="F33" s="111" t="s">
        <v>2192</v>
      </c>
      <c r="G33" s="113"/>
      <c r="H33" s="275">
        <v>471</v>
      </c>
      <c r="I33" s="276" t="s">
        <v>2224</v>
      </c>
      <c r="J33" s="112"/>
      <c r="K33" s="206">
        <v>2268</v>
      </c>
      <c r="L33" s="373">
        <f>IF(tblFuturePathway[[#This Row],[Size of Land (m2)]]=0,0,tblFuturePathway[[#This Row],[Land Value]]/tblFuturePathway[[#This Row],[Size of Land (m2)]])</f>
        <v>550.24470899470896</v>
      </c>
      <c r="M33" s="195">
        <v>1247955</v>
      </c>
      <c r="N33" s="195">
        <f>tblFuturePathway[[#This Row],[Direct Construction Cost]]/tblFuturePathway[[#This Row],[Length (m)]]</f>
        <v>736.04246284501062</v>
      </c>
      <c r="O33" s="72">
        <v>346676</v>
      </c>
      <c r="P33" s="111">
        <v>2021</v>
      </c>
      <c r="Q33" s="76">
        <v>0.01</v>
      </c>
      <c r="R33" s="206"/>
      <c r="S33" s="365">
        <f t="shared" si="0"/>
        <v>79735</v>
      </c>
      <c r="T33" s="366">
        <f t="shared" si="1"/>
        <v>0.15</v>
      </c>
      <c r="U33" s="365">
        <f t="shared" si="2"/>
        <v>63962</v>
      </c>
      <c r="V33" s="273">
        <v>0</v>
      </c>
      <c r="W33" s="261">
        <v>2029</v>
      </c>
      <c r="X33" s="367">
        <f t="shared" si="6"/>
        <v>1.1552634751694639</v>
      </c>
      <c r="Y33" s="146">
        <f t="shared" si="3"/>
        <v>490373</v>
      </c>
      <c r="Z33" s="235">
        <f>IFERROR(IF(tblFuturePathway[[#This Row],[Year of Provision]]&gt;2024,VLOOKUP(tblFuturePathway[[#This Row],[Service Catchment]],'Catchment Demand - Pathway'!C$8:M$8,11,FALSE),""),"")</f>
        <v>0.33960071153808458</v>
      </c>
      <c r="AA33" s="234" cm="1">
        <f t="array" ref="AA3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5.3372404828504185E-3</v>
      </c>
      <c r="AB33" s="368">
        <f>IF(AND(tblFuturePathway[[#This Row],[Spare Capacity (%)]]&gt;30%,tblFuturePathway[[#This Row],[Share of the total Cost with the same year of provision %]]&gt;20%),(1-tblFuturePathway[[#This Row],[Spare Capacity (%)]]),1)</f>
        <v>1</v>
      </c>
      <c r="AC33" s="368">
        <f>IF(tblFuturePathway[[#This Row],[Terminal Value Analysis]]&lt;0,0,tblFuturePathway[[#This Row],[Terminal Value Analysis]])</f>
        <v>1</v>
      </c>
      <c r="AD33" s="75">
        <f>ROUND(Y33+M33-tblFuturePathway[[#This Row],[Grants and Subsidies ($)]],0)</f>
        <v>1738328</v>
      </c>
      <c r="AE33" s="211">
        <f t="shared" si="7"/>
        <v>2029971</v>
      </c>
      <c r="AF33" s="369">
        <f t="shared" si="4"/>
        <v>1282313</v>
      </c>
      <c r="AG33" s="75">
        <f>tblFuturePathway[[#This Row],[Net Present Value of Establishment Cost]]*tblFuturePathway[[#This Row],[Terminal Value Adjustment (%)]]</f>
        <v>1282313</v>
      </c>
      <c r="AH33" s="370">
        <f t="shared" si="5"/>
        <v>1282313</v>
      </c>
      <c r="AI33" s="371">
        <f>tblFuturePathway[[#This Row],[Net Present Value of Establishment Cost]]*tblFuturePathway[[#This Row],[Terminal Value Adjustment (%)]]</f>
        <v>1282313</v>
      </c>
    </row>
    <row r="34" spans="1:35">
      <c r="A34" s="191"/>
      <c r="B34" s="112" t="s">
        <v>2160</v>
      </c>
      <c r="C34" s="114" t="s">
        <v>2120</v>
      </c>
      <c r="D34" s="111" t="s">
        <v>2224</v>
      </c>
      <c r="E34" s="111" t="s">
        <v>113</v>
      </c>
      <c r="F34" s="111" t="s">
        <v>2193</v>
      </c>
      <c r="G34" s="113"/>
      <c r="H34" s="275">
        <v>466</v>
      </c>
      <c r="I34" s="276" t="s">
        <v>2224</v>
      </c>
      <c r="J34" s="112"/>
      <c r="K34" s="206">
        <v>3492</v>
      </c>
      <c r="L34" s="373">
        <f>IF(tblFuturePathway[[#This Row],[Size of Land (m2)]]=0,0,tblFuturePathway[[#This Row],[Land Value]]/tblFuturePathway[[#This Row],[Size of Land (m2)]])</f>
        <v>402.66924398625429</v>
      </c>
      <c r="M34" s="195">
        <v>1406121</v>
      </c>
      <c r="N34" s="195">
        <f>tblFuturePathway[[#This Row],[Direct Construction Cost]]/tblFuturePathway[[#This Row],[Length (m)]]</f>
        <v>736.0429184549356</v>
      </c>
      <c r="O34" s="72">
        <v>342996</v>
      </c>
      <c r="P34" s="111">
        <v>2021</v>
      </c>
      <c r="Q34" s="76">
        <v>0.01</v>
      </c>
      <c r="R34" s="206"/>
      <c r="S34" s="365">
        <f t="shared" si="0"/>
        <v>78889</v>
      </c>
      <c r="T34" s="366">
        <f t="shared" si="1"/>
        <v>7.4999999999999997E-2</v>
      </c>
      <c r="U34" s="365">
        <f t="shared" si="2"/>
        <v>31641</v>
      </c>
      <c r="V34" s="273">
        <v>0</v>
      </c>
      <c r="W34" s="261">
        <v>2024</v>
      </c>
      <c r="X34" s="367">
        <f t="shared" si="6"/>
        <v>1.0556146069383956</v>
      </c>
      <c r="Y34" s="146">
        <f t="shared" si="3"/>
        <v>453526</v>
      </c>
      <c r="Z34" s="235" t="str">
        <f>IFERROR(IF(tblFuturePathway[[#This Row],[Year of Provision]]&gt;2024,VLOOKUP(tblFuturePathway[[#This Row],[Service Catchment]],'Catchment Demand - Pathway'!C$8:M$8,11,FALSE),""),"")</f>
        <v/>
      </c>
      <c r="AA34" s="234" cm="1">
        <f t="array" ref="AA3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34" s="368">
        <f>IF(AND(tblFuturePathway[[#This Row],[Spare Capacity (%)]]&gt;30%,tblFuturePathway[[#This Row],[Share of the total Cost with the same year of provision %]]&gt;20%),(1-tblFuturePathway[[#This Row],[Spare Capacity (%)]]),1)</f>
        <v>1</v>
      </c>
      <c r="AC34" s="368">
        <f>IF(tblFuturePathway[[#This Row],[Terminal Value Analysis]]&lt;0,0,tblFuturePathway[[#This Row],[Terminal Value Analysis]])</f>
        <v>1</v>
      </c>
      <c r="AD34" s="75">
        <f>ROUND(Y34+M34-tblFuturePathway[[#This Row],[Grants and Subsidies ($)]],0)</f>
        <v>1859647</v>
      </c>
      <c r="AE34" s="211">
        <f t="shared" si="7"/>
        <v>1971426</v>
      </c>
      <c r="AF34" s="369">
        <f t="shared" si="4"/>
        <v>1659471</v>
      </c>
      <c r="AG34" s="75">
        <f>tblFuturePathway[[#This Row],[Net Present Value of Establishment Cost]]*tblFuturePathway[[#This Row],[Terminal Value Adjustment (%)]]</f>
        <v>1659471</v>
      </c>
      <c r="AH34" s="370">
        <f t="shared" si="5"/>
        <v>1659471</v>
      </c>
      <c r="AI34" s="371">
        <f>tblFuturePathway[[#This Row],[Net Present Value of Establishment Cost]]*tblFuturePathway[[#This Row],[Terminal Value Adjustment (%)]]</f>
        <v>1659471</v>
      </c>
    </row>
    <row r="35" spans="1:35">
      <c r="A35" s="191"/>
      <c r="B35" s="112" t="s">
        <v>2161</v>
      </c>
      <c r="C35" s="114" t="s">
        <v>2390</v>
      </c>
      <c r="D35" s="111" t="s">
        <v>2224</v>
      </c>
      <c r="E35" s="111" t="s">
        <v>113</v>
      </c>
      <c r="F35" s="111" t="s">
        <v>2339</v>
      </c>
      <c r="G35" s="113"/>
      <c r="H35" s="275">
        <v>440</v>
      </c>
      <c r="I35" s="276" t="s">
        <v>2224</v>
      </c>
      <c r="J35" s="112"/>
      <c r="K35" s="206">
        <v>3123</v>
      </c>
      <c r="L35" s="373">
        <f>IF(tblFuturePathway[[#This Row],[Size of Land (m2)]]=0,0,tblFuturePathway[[#This Row],[Land Value]]/tblFuturePathway[[#This Row],[Size of Land (m2)]])</f>
        <v>117.84470060838937</v>
      </c>
      <c r="M35" s="195">
        <v>368029</v>
      </c>
      <c r="N35" s="195">
        <f>tblFuturePathway[[#This Row],[Direct Construction Cost]]/tblFuturePathway[[#This Row],[Length (m)]]</f>
        <v>736.04318181818178</v>
      </c>
      <c r="O35" s="72">
        <v>323859</v>
      </c>
      <c r="P35" s="111">
        <v>2021</v>
      </c>
      <c r="Q35" s="76">
        <v>0.01</v>
      </c>
      <c r="R35" s="206"/>
      <c r="S35" s="365">
        <f t="shared" si="0"/>
        <v>74488</v>
      </c>
      <c r="T35" s="366">
        <f t="shared" si="1"/>
        <v>7.4999999999999997E-2</v>
      </c>
      <c r="U35" s="365">
        <f t="shared" si="2"/>
        <v>29876</v>
      </c>
      <c r="V35" s="273">
        <v>0</v>
      </c>
      <c r="W35" s="261">
        <v>2024</v>
      </c>
      <c r="X35" s="367">
        <f t="shared" si="6"/>
        <v>1.0556146069383956</v>
      </c>
      <c r="Y35" s="146">
        <f t="shared" si="3"/>
        <v>428223</v>
      </c>
      <c r="Z35" s="235" t="str">
        <f>IFERROR(IF(tblFuturePathway[[#This Row],[Year of Provision]]&gt;2024,VLOOKUP(tblFuturePathway[[#This Row],[Service Catchment]],'Catchment Demand - Pathway'!C$8:M$8,11,FALSE),""),"")</f>
        <v/>
      </c>
      <c r="AA35" s="234" cm="1">
        <f t="array" ref="AA3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35" s="368">
        <f>IF(AND(tblFuturePathway[[#This Row],[Spare Capacity (%)]]&gt;30%,tblFuturePathway[[#This Row],[Share of the total Cost with the same year of provision %]]&gt;20%),(1-tblFuturePathway[[#This Row],[Spare Capacity (%)]]),1)</f>
        <v>1</v>
      </c>
      <c r="AC35" s="368">
        <f>IF(tblFuturePathway[[#This Row],[Terminal Value Analysis]]&lt;0,0,tblFuturePathway[[#This Row],[Terminal Value Analysis]])</f>
        <v>1</v>
      </c>
      <c r="AD35" s="75">
        <f>ROUND(Y35+M35-tblFuturePathway[[#This Row],[Grants and Subsidies ($)]],0)</f>
        <v>796252</v>
      </c>
      <c r="AE35" s="211">
        <f t="shared" si="7"/>
        <v>842722</v>
      </c>
      <c r="AF35" s="369">
        <f t="shared" si="4"/>
        <v>709371</v>
      </c>
      <c r="AG35" s="75">
        <f>tblFuturePathway[[#This Row],[Net Present Value of Establishment Cost]]*tblFuturePathway[[#This Row],[Terminal Value Adjustment (%)]]</f>
        <v>709371</v>
      </c>
      <c r="AH35" s="370">
        <f t="shared" si="5"/>
        <v>709371</v>
      </c>
      <c r="AI35" s="371">
        <f>tblFuturePathway[[#This Row],[Net Present Value of Establishment Cost]]*tblFuturePathway[[#This Row],[Terminal Value Adjustment (%)]]</f>
        <v>709371</v>
      </c>
    </row>
    <row r="36" spans="1:35">
      <c r="A36" s="191"/>
      <c r="B36" s="112" t="s">
        <v>2161</v>
      </c>
      <c r="C36" s="114" t="s">
        <v>2391</v>
      </c>
      <c r="D36" s="111" t="s">
        <v>2224</v>
      </c>
      <c r="E36" s="111" t="s">
        <v>113</v>
      </c>
      <c r="F36" s="111" t="s">
        <v>2338</v>
      </c>
      <c r="G36" s="113"/>
      <c r="H36" s="275">
        <v>440</v>
      </c>
      <c r="I36" s="276" t="s">
        <v>2224</v>
      </c>
      <c r="J36" s="112"/>
      <c r="K36" s="206">
        <v>3120</v>
      </c>
      <c r="L36" s="373">
        <f>IF(tblFuturePathway[[#This Row],[Size of Land (m2)]]=0,0,tblFuturePathway[[#This Row],[Land Value]]/tblFuturePathway[[#This Row],[Size of Land (m2)]])</f>
        <v>75.255128205128202</v>
      </c>
      <c r="M36" s="195">
        <v>234796</v>
      </c>
      <c r="N36" s="195">
        <f>tblFuturePathway[[#This Row],[Direct Construction Cost]]/tblFuturePathway[[#This Row],[Length (m)]]</f>
        <v>736.04318181818178</v>
      </c>
      <c r="O36" s="72">
        <v>323859</v>
      </c>
      <c r="P36" s="111">
        <v>2021</v>
      </c>
      <c r="Q36" s="76">
        <v>0.01</v>
      </c>
      <c r="R36" s="206"/>
      <c r="S36" s="365">
        <f t="shared" si="0"/>
        <v>74488</v>
      </c>
      <c r="T36" s="366">
        <f t="shared" si="1"/>
        <v>7.4999999999999997E-2</v>
      </c>
      <c r="U36" s="365">
        <f t="shared" si="2"/>
        <v>29876</v>
      </c>
      <c r="V36" s="273">
        <v>0</v>
      </c>
      <c r="W36" s="261">
        <v>2024</v>
      </c>
      <c r="X36" s="367">
        <f t="shared" si="6"/>
        <v>1.0556146069383956</v>
      </c>
      <c r="Y36" s="146">
        <f t="shared" si="3"/>
        <v>428223</v>
      </c>
      <c r="Z36" s="235" t="str">
        <f>IFERROR(IF(tblFuturePathway[[#This Row],[Year of Provision]]&gt;2024,VLOOKUP(tblFuturePathway[[#This Row],[Service Catchment]],'Catchment Demand - Pathway'!C$8:M$8,11,FALSE),""),"")</f>
        <v/>
      </c>
      <c r="AA36" s="234" cm="1">
        <f t="array" ref="AA3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36" s="368">
        <f>IF(AND(tblFuturePathway[[#This Row],[Spare Capacity (%)]]&gt;30%,tblFuturePathway[[#This Row],[Share of the total Cost with the same year of provision %]]&gt;20%),(1-tblFuturePathway[[#This Row],[Spare Capacity (%)]]),1)</f>
        <v>1</v>
      </c>
      <c r="AC36" s="368">
        <f>IF(tblFuturePathway[[#This Row],[Terminal Value Analysis]]&lt;0,0,tblFuturePathway[[#This Row],[Terminal Value Analysis]])</f>
        <v>1</v>
      </c>
      <c r="AD36" s="75">
        <f>ROUND(Y36+M36-tblFuturePathway[[#This Row],[Grants and Subsidies ($)]],0)</f>
        <v>663019</v>
      </c>
      <c r="AE36" s="211">
        <f t="shared" si="7"/>
        <v>701288</v>
      </c>
      <c r="AF36" s="369">
        <f t="shared" si="4"/>
        <v>590317</v>
      </c>
      <c r="AG36" s="75">
        <f>tblFuturePathway[[#This Row],[Net Present Value of Establishment Cost]]*tblFuturePathway[[#This Row],[Terminal Value Adjustment (%)]]</f>
        <v>590317</v>
      </c>
      <c r="AH36" s="370">
        <f t="shared" si="5"/>
        <v>590317</v>
      </c>
      <c r="AI36" s="371">
        <f>tblFuturePathway[[#This Row],[Net Present Value of Establishment Cost]]*tblFuturePathway[[#This Row],[Terminal Value Adjustment (%)]]</f>
        <v>590317</v>
      </c>
    </row>
    <row r="37" spans="1:35">
      <c r="A37" s="191"/>
      <c r="B37" s="112" t="s">
        <v>2161</v>
      </c>
      <c r="C37" s="114" t="s">
        <v>2392</v>
      </c>
      <c r="D37" s="111" t="s">
        <v>2224</v>
      </c>
      <c r="E37" s="111" t="s">
        <v>113</v>
      </c>
      <c r="F37" s="111" t="s">
        <v>2337</v>
      </c>
      <c r="G37" s="113"/>
      <c r="H37" s="275">
        <v>447</v>
      </c>
      <c r="I37" s="276" t="s">
        <v>2224</v>
      </c>
      <c r="J37" s="112"/>
      <c r="K37" s="206">
        <v>3166</v>
      </c>
      <c r="L37" s="373">
        <f>IF(tblFuturePathway[[#This Row],[Size of Land (m2)]]=0,0,tblFuturePathway[[#This Row],[Land Value]]/tblFuturePathway[[#This Row],[Size of Land (m2)]])</f>
        <v>10.297536323436512</v>
      </c>
      <c r="M37" s="195">
        <v>32602</v>
      </c>
      <c r="N37" s="195">
        <f>tblFuturePathway[[#This Row],[Direct Construction Cost]]/tblFuturePathway[[#This Row],[Length (m)]]</f>
        <v>736.04250559284117</v>
      </c>
      <c r="O37" s="72">
        <v>329011</v>
      </c>
      <c r="P37" s="111">
        <v>2021</v>
      </c>
      <c r="Q37" s="76">
        <v>0.01</v>
      </c>
      <c r="R37" s="206"/>
      <c r="S37" s="365">
        <f t="shared" si="0"/>
        <v>75673</v>
      </c>
      <c r="T37" s="366">
        <f t="shared" si="1"/>
        <v>0.2</v>
      </c>
      <c r="U37" s="365">
        <f t="shared" si="2"/>
        <v>80937</v>
      </c>
      <c r="V37" s="273">
        <v>0</v>
      </c>
      <c r="W37" s="261">
        <v>2034</v>
      </c>
      <c r="X37" s="367">
        <f t="shared" si="6"/>
        <v>1.2643190879401258</v>
      </c>
      <c r="Y37" s="146">
        <f t="shared" si="3"/>
        <v>485621</v>
      </c>
      <c r="Z37" s="235">
        <f>IFERROR(IF(tblFuturePathway[[#This Row],[Year of Provision]]&gt;2024,VLOOKUP(tblFuturePathway[[#This Row],[Service Catchment]],'Catchment Demand - Pathway'!C$8:M$8,11,FALSE),""),"")</f>
        <v>0.33960071153808458</v>
      </c>
      <c r="AA37" s="234" cm="1">
        <f t="array" ref="AA3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0.11619003509138888</v>
      </c>
      <c r="AB37" s="368">
        <f>IF(AND(tblFuturePathway[[#This Row],[Spare Capacity (%)]]&gt;30%,tblFuturePathway[[#This Row],[Share of the total Cost with the same year of provision %]]&gt;20%),(1-tblFuturePathway[[#This Row],[Spare Capacity (%)]]),1)</f>
        <v>1</v>
      </c>
      <c r="AC37" s="368">
        <f>IF(tblFuturePathway[[#This Row],[Terminal Value Analysis]]&lt;0,0,tblFuturePathway[[#This Row],[Terminal Value Analysis]])</f>
        <v>1</v>
      </c>
      <c r="AD37" s="75">
        <f>ROUND(Y37+M37-tblFuturePathway[[#This Row],[Grants and Subsidies ($)]],0)</f>
        <v>518223</v>
      </c>
      <c r="AE37" s="211">
        <f t="shared" si="7"/>
        <v>656214</v>
      </c>
      <c r="AF37" s="369">
        <f t="shared" si="4"/>
        <v>311075</v>
      </c>
      <c r="AG37" s="75">
        <f>tblFuturePathway[[#This Row],[Net Present Value of Establishment Cost]]*tblFuturePathway[[#This Row],[Terminal Value Adjustment (%)]]</f>
        <v>311075</v>
      </c>
      <c r="AH37" s="370">
        <f t="shared" si="5"/>
        <v>311075</v>
      </c>
      <c r="AI37" s="371">
        <f>tblFuturePathway[[#This Row],[Net Present Value of Establishment Cost]]*tblFuturePathway[[#This Row],[Terminal Value Adjustment (%)]]</f>
        <v>311075</v>
      </c>
    </row>
    <row r="38" spans="1:35">
      <c r="A38" s="191"/>
      <c r="B38" s="112" t="s">
        <v>2162</v>
      </c>
      <c r="C38" s="114" t="s">
        <v>2121</v>
      </c>
      <c r="D38" s="111" t="s">
        <v>2224</v>
      </c>
      <c r="E38" s="111" t="s">
        <v>113</v>
      </c>
      <c r="F38" s="111" t="s">
        <v>2194</v>
      </c>
      <c r="G38" s="113"/>
      <c r="H38" s="275">
        <v>79</v>
      </c>
      <c r="I38" s="276" t="s">
        <v>2224</v>
      </c>
      <c r="J38" s="112"/>
      <c r="K38" s="206">
        <v>485</v>
      </c>
      <c r="L38" s="373">
        <f>IF(tblFuturePathway[[#This Row],[Size of Land (m2)]]=0,0,tblFuturePathway[[#This Row],[Land Value]]/tblFuturePathway[[#This Row],[Size of Land (m2)]])</f>
        <v>6.7463917525773196</v>
      </c>
      <c r="M38" s="195">
        <v>3272</v>
      </c>
      <c r="N38" s="195">
        <f>tblFuturePathway[[#This Row],[Direct Construction Cost]]/tblFuturePathway[[#This Row],[Length (m)]]</f>
        <v>12812</v>
      </c>
      <c r="O38" s="72">
        <v>1012148</v>
      </c>
      <c r="P38" s="111">
        <v>2021</v>
      </c>
      <c r="Q38" s="76">
        <v>0.01</v>
      </c>
      <c r="R38" s="206"/>
      <c r="S38" s="365">
        <f t="shared" si="0"/>
        <v>232794</v>
      </c>
      <c r="T38" s="366">
        <f t="shared" si="1"/>
        <v>7.4999999999999997E-2</v>
      </c>
      <c r="U38" s="365">
        <f t="shared" si="2"/>
        <v>93371</v>
      </c>
      <c r="V38" s="273">
        <v>0</v>
      </c>
      <c r="W38" s="261">
        <v>2024</v>
      </c>
      <c r="X38" s="367">
        <f t="shared" si="6"/>
        <v>1.0556146069383956</v>
      </c>
      <c r="Y38" s="146">
        <f t="shared" si="3"/>
        <v>1338313</v>
      </c>
      <c r="Z38" s="235" t="str">
        <f>IFERROR(IF(tblFuturePathway[[#This Row],[Year of Provision]]&gt;2024,VLOOKUP(tblFuturePathway[[#This Row],[Service Catchment]],'Catchment Demand - Pathway'!C$8:M$8,11,FALSE),""),"")</f>
        <v/>
      </c>
      <c r="AA38" s="234" cm="1">
        <f t="array" ref="AA3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38" s="368">
        <f>IF(AND(tblFuturePathway[[#This Row],[Spare Capacity (%)]]&gt;30%,tblFuturePathway[[#This Row],[Share of the total Cost with the same year of provision %]]&gt;20%),(1-tblFuturePathway[[#This Row],[Spare Capacity (%)]]),1)</f>
        <v>1</v>
      </c>
      <c r="AC38" s="368">
        <f>IF(tblFuturePathway[[#This Row],[Terminal Value Analysis]]&lt;0,0,tblFuturePathway[[#This Row],[Terminal Value Analysis]])</f>
        <v>1</v>
      </c>
      <c r="AD38" s="75">
        <f>ROUND(Y38+M38-tblFuturePathway[[#This Row],[Grants and Subsidies ($)]],0)</f>
        <v>1341585</v>
      </c>
      <c r="AE38" s="211">
        <f t="shared" si="7"/>
        <v>1416216</v>
      </c>
      <c r="AF38" s="369">
        <f t="shared" si="4"/>
        <v>1192116</v>
      </c>
      <c r="AG38" s="75">
        <f>tblFuturePathway[[#This Row],[Net Present Value of Establishment Cost]]*tblFuturePathway[[#This Row],[Terminal Value Adjustment (%)]]</f>
        <v>1192116</v>
      </c>
      <c r="AH38" s="370">
        <f t="shared" si="5"/>
        <v>1192116</v>
      </c>
      <c r="AI38" s="371">
        <f>tblFuturePathway[[#This Row],[Net Present Value of Establishment Cost]]*tblFuturePathway[[#This Row],[Terminal Value Adjustment (%)]]</f>
        <v>1192116</v>
      </c>
    </row>
    <row r="39" spans="1:35">
      <c r="A39" s="191"/>
      <c r="B39" s="112" t="s">
        <v>2164</v>
      </c>
      <c r="C39" s="114" t="s">
        <v>2393</v>
      </c>
      <c r="D39" s="111" t="s">
        <v>2224</v>
      </c>
      <c r="E39" s="111" t="s">
        <v>113</v>
      </c>
      <c r="F39" s="111" t="s">
        <v>2340</v>
      </c>
      <c r="G39" s="113"/>
      <c r="H39" s="275">
        <v>811</v>
      </c>
      <c r="I39" s="276" t="s">
        <v>2224</v>
      </c>
      <c r="J39" s="112"/>
      <c r="K39" s="206">
        <v>5640</v>
      </c>
      <c r="L39" s="373">
        <f>IF(tblFuturePathway[[#This Row],[Size of Land (m2)]]=0,0,tblFuturePathway[[#This Row],[Land Value]]/tblFuturePathway[[#This Row],[Size of Land (m2)]])</f>
        <v>94.928546099290784</v>
      </c>
      <c r="M39" s="195">
        <v>535397</v>
      </c>
      <c r="N39" s="195">
        <f>tblFuturePathway[[#This Row],[Direct Construction Cost]]/tblFuturePathway[[#This Row],[Length (m)]]</f>
        <v>736.04315659679412</v>
      </c>
      <c r="O39" s="72">
        <v>596931</v>
      </c>
      <c r="P39" s="111">
        <v>2021</v>
      </c>
      <c r="Q39" s="76">
        <v>0.01</v>
      </c>
      <c r="R39" s="206"/>
      <c r="S39" s="365">
        <f t="shared" si="0"/>
        <v>137294</v>
      </c>
      <c r="T39" s="366">
        <f t="shared" si="1"/>
        <v>0.15</v>
      </c>
      <c r="U39" s="365">
        <f t="shared" si="2"/>
        <v>110134</v>
      </c>
      <c r="V39" s="273">
        <v>0</v>
      </c>
      <c r="W39" s="261">
        <v>2029</v>
      </c>
      <c r="X39" s="367">
        <f t="shared" si="6"/>
        <v>1.1552634751694639</v>
      </c>
      <c r="Y39" s="146">
        <f t="shared" si="3"/>
        <v>844359</v>
      </c>
      <c r="Z39" s="235">
        <f>IFERROR(IF(tblFuturePathway[[#This Row],[Year of Provision]]&gt;2024,VLOOKUP(tblFuturePathway[[#This Row],[Service Catchment]],'Catchment Demand - Pathway'!C$8:M$8,11,FALSE),""),"")</f>
        <v>0.33960071153808458</v>
      </c>
      <c r="AA39" s="234" cm="1">
        <f t="array" ref="AA3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4.2154573899422162E-3</v>
      </c>
      <c r="AB39" s="368">
        <f>IF(AND(tblFuturePathway[[#This Row],[Spare Capacity (%)]]&gt;30%,tblFuturePathway[[#This Row],[Share of the total Cost with the same year of provision %]]&gt;20%),(1-tblFuturePathway[[#This Row],[Spare Capacity (%)]]),1)</f>
        <v>1</v>
      </c>
      <c r="AC39" s="368">
        <f>IF(tblFuturePathway[[#This Row],[Terminal Value Analysis]]&lt;0,0,tblFuturePathway[[#This Row],[Terminal Value Analysis]])</f>
        <v>1</v>
      </c>
      <c r="AD39" s="75">
        <f>ROUND(Y39+M39-tblFuturePathway[[#This Row],[Grants and Subsidies ($)]],0)</f>
        <v>1379756</v>
      </c>
      <c r="AE39" s="211">
        <f t="shared" si="7"/>
        <v>1603311</v>
      </c>
      <c r="AF39" s="369">
        <f t="shared" si="4"/>
        <v>1012796</v>
      </c>
      <c r="AG39" s="75">
        <f>tblFuturePathway[[#This Row],[Net Present Value of Establishment Cost]]*tblFuturePathway[[#This Row],[Terminal Value Adjustment (%)]]</f>
        <v>1012796</v>
      </c>
      <c r="AH39" s="370">
        <f t="shared" si="5"/>
        <v>1012796</v>
      </c>
      <c r="AI39" s="371">
        <f>tblFuturePathway[[#This Row],[Net Present Value of Establishment Cost]]*tblFuturePathway[[#This Row],[Terminal Value Adjustment (%)]]</f>
        <v>1012796</v>
      </c>
    </row>
    <row r="40" spans="1:35">
      <c r="A40" s="191"/>
      <c r="B40" s="112" t="s">
        <v>2161</v>
      </c>
      <c r="C40" s="114" t="s">
        <v>2122</v>
      </c>
      <c r="D40" s="111" t="s">
        <v>2224</v>
      </c>
      <c r="E40" s="111" t="s">
        <v>113</v>
      </c>
      <c r="F40" s="111" t="s">
        <v>2195</v>
      </c>
      <c r="G40" s="113"/>
      <c r="H40" s="275">
        <v>964</v>
      </c>
      <c r="I40" s="276" t="s">
        <v>2224</v>
      </c>
      <c r="J40" s="112"/>
      <c r="K40" s="206">
        <v>3143</v>
      </c>
      <c r="L40" s="373">
        <f>IF(tblFuturePathway[[#This Row],[Size of Land (m2)]]=0,0,tblFuturePathway[[#This Row],[Land Value]]/tblFuturePathway[[#This Row],[Size of Land (m2)]])</f>
        <v>9.6461979000954496</v>
      </c>
      <c r="M40" s="195">
        <v>30318</v>
      </c>
      <c r="N40" s="195">
        <f>tblFuturePathway[[#This Row],[Direct Construction Cost]]/tblFuturePathway[[#This Row],[Length (m)]]</f>
        <v>736.04356846473024</v>
      </c>
      <c r="O40" s="72">
        <v>709546</v>
      </c>
      <c r="P40" s="111">
        <v>2021</v>
      </c>
      <c r="Q40" s="76">
        <v>0.01</v>
      </c>
      <c r="R40" s="206"/>
      <c r="S40" s="365">
        <f t="shared" si="0"/>
        <v>163196</v>
      </c>
      <c r="T40" s="366">
        <f t="shared" si="1"/>
        <v>0.15</v>
      </c>
      <c r="U40" s="365">
        <f t="shared" si="2"/>
        <v>130911</v>
      </c>
      <c r="V40" s="273">
        <v>0</v>
      </c>
      <c r="W40" s="261">
        <v>2029</v>
      </c>
      <c r="X40" s="367">
        <f t="shared" si="6"/>
        <v>1.1552634751694639</v>
      </c>
      <c r="Y40" s="146">
        <f t="shared" si="3"/>
        <v>1003653</v>
      </c>
      <c r="Z40" s="235">
        <f>IFERROR(IF(tblFuturePathway[[#This Row],[Year of Provision]]&gt;2024,VLOOKUP(tblFuturePathway[[#This Row],[Service Catchment]],'Catchment Demand - Pathway'!C$8:M$8,11,FALSE),""),"")</f>
        <v>0.33960071153808458</v>
      </c>
      <c r="AA40" s="234" cm="1">
        <f t="array" ref="AA4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3.1420140635089883E-3</v>
      </c>
      <c r="AB40" s="368">
        <f>IF(AND(tblFuturePathway[[#This Row],[Spare Capacity (%)]]&gt;30%,tblFuturePathway[[#This Row],[Share of the total Cost with the same year of provision %]]&gt;20%),(1-tblFuturePathway[[#This Row],[Spare Capacity (%)]]),1)</f>
        <v>1</v>
      </c>
      <c r="AC40" s="368">
        <f>IF(tblFuturePathway[[#This Row],[Terminal Value Analysis]]&lt;0,0,tblFuturePathway[[#This Row],[Terminal Value Analysis]])</f>
        <v>1</v>
      </c>
      <c r="AD40" s="75">
        <f>ROUND(Y40+M40-tblFuturePathway[[#This Row],[Grants and Subsidies ($)]],0)</f>
        <v>1033971</v>
      </c>
      <c r="AE40" s="211">
        <f t="shared" si="7"/>
        <v>1195037</v>
      </c>
      <c r="AF40" s="369">
        <f t="shared" si="4"/>
        <v>754893</v>
      </c>
      <c r="AG40" s="75">
        <f>tblFuturePathway[[#This Row],[Net Present Value of Establishment Cost]]*tblFuturePathway[[#This Row],[Terminal Value Adjustment (%)]]</f>
        <v>754893</v>
      </c>
      <c r="AH40" s="370">
        <f t="shared" si="5"/>
        <v>754893</v>
      </c>
      <c r="AI40" s="371">
        <f>tblFuturePathway[[#This Row],[Net Present Value of Establishment Cost]]*tblFuturePathway[[#This Row],[Terminal Value Adjustment (%)]]</f>
        <v>754893</v>
      </c>
    </row>
    <row r="41" spans="1:35">
      <c r="A41" s="191"/>
      <c r="B41" s="112" t="s">
        <v>2162</v>
      </c>
      <c r="C41" s="114" t="s">
        <v>2394</v>
      </c>
      <c r="D41" s="111" t="s">
        <v>2224</v>
      </c>
      <c r="E41" s="111" t="s">
        <v>113</v>
      </c>
      <c r="F41" s="111" t="s">
        <v>2341</v>
      </c>
      <c r="G41" s="113"/>
      <c r="H41" s="275">
        <v>270</v>
      </c>
      <c r="I41" s="276" t="s">
        <v>2224</v>
      </c>
      <c r="J41" s="112"/>
      <c r="K41" s="206">
        <v>1167</v>
      </c>
      <c r="L41" s="373">
        <f>IF(tblFuturePathway[[#This Row],[Size of Land (m2)]]=0,0,tblFuturePathway[[#This Row],[Land Value]]/tblFuturePathway[[#This Row],[Size of Land (m2)]])</f>
        <v>0</v>
      </c>
      <c r="M41" s="195">
        <v>0</v>
      </c>
      <c r="N41" s="195">
        <f>tblFuturePathway[[#This Row],[Direct Construction Cost]]/tblFuturePathway[[#This Row],[Length (m)]]</f>
        <v>736.04444444444448</v>
      </c>
      <c r="O41" s="72">
        <v>198732</v>
      </c>
      <c r="P41" s="111">
        <v>2021</v>
      </c>
      <c r="Q41" s="76">
        <v>0.01</v>
      </c>
      <c r="R41" s="206"/>
      <c r="S41" s="365">
        <f t="shared" si="0"/>
        <v>45708</v>
      </c>
      <c r="T41" s="366">
        <f t="shared" si="1"/>
        <v>0.15</v>
      </c>
      <c r="U41" s="365">
        <f t="shared" si="2"/>
        <v>36666</v>
      </c>
      <c r="V41" s="273">
        <v>0</v>
      </c>
      <c r="W41" s="261">
        <v>2029</v>
      </c>
      <c r="X41" s="367">
        <f t="shared" si="6"/>
        <v>1.1552634751694639</v>
      </c>
      <c r="Y41" s="146">
        <f t="shared" si="3"/>
        <v>281106</v>
      </c>
      <c r="Z41" s="235">
        <f>IFERROR(IF(tblFuturePathway[[#This Row],[Year of Provision]]&gt;2024,VLOOKUP(tblFuturePathway[[#This Row],[Service Catchment]],'Catchment Demand - Pathway'!C$8:M$8,11,FALSE),""),"")</f>
        <v>0.33960071153808458</v>
      </c>
      <c r="AA41" s="234" cm="1">
        <f t="array" ref="AA4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8.5384160273887936E-4</v>
      </c>
      <c r="AB41" s="368">
        <f>IF(AND(tblFuturePathway[[#This Row],[Spare Capacity (%)]]&gt;30%,tblFuturePathway[[#This Row],[Share of the total Cost with the same year of provision %]]&gt;20%),(1-tblFuturePathway[[#This Row],[Spare Capacity (%)]]),1)</f>
        <v>1</v>
      </c>
      <c r="AC41" s="368">
        <f>IF(tblFuturePathway[[#This Row],[Terminal Value Analysis]]&lt;0,0,tblFuturePathway[[#This Row],[Terminal Value Analysis]])</f>
        <v>1</v>
      </c>
      <c r="AD41" s="75">
        <f>ROUND(Y41+M41-tblFuturePathway[[#This Row],[Grants and Subsidies ($)]],0)</f>
        <v>281106</v>
      </c>
      <c r="AE41" s="211">
        <f t="shared" si="7"/>
        <v>324751</v>
      </c>
      <c r="AF41" s="369">
        <f t="shared" si="4"/>
        <v>205142</v>
      </c>
      <c r="AG41" s="75">
        <f>tblFuturePathway[[#This Row],[Net Present Value of Establishment Cost]]*tblFuturePathway[[#This Row],[Terminal Value Adjustment (%)]]</f>
        <v>205142</v>
      </c>
      <c r="AH41" s="370">
        <f t="shared" si="5"/>
        <v>205142</v>
      </c>
      <c r="AI41" s="371">
        <f>tblFuturePathway[[#This Row],[Net Present Value of Establishment Cost]]*tblFuturePathway[[#This Row],[Terminal Value Adjustment (%)]]</f>
        <v>205142</v>
      </c>
    </row>
    <row r="42" spans="1:35">
      <c r="A42" s="191"/>
      <c r="B42" s="112" t="s">
        <v>2162</v>
      </c>
      <c r="C42" s="114" t="s">
        <v>2395</v>
      </c>
      <c r="D42" s="111" t="s">
        <v>2224</v>
      </c>
      <c r="E42" s="111" t="s">
        <v>113</v>
      </c>
      <c r="F42" s="111" t="s">
        <v>2477</v>
      </c>
      <c r="G42" s="113"/>
      <c r="H42" s="275">
        <v>358</v>
      </c>
      <c r="I42" s="276" t="s">
        <v>2224</v>
      </c>
      <c r="J42" s="112"/>
      <c r="K42" s="206">
        <v>2512</v>
      </c>
      <c r="L42" s="373">
        <f>IF(tblFuturePathway[[#This Row],[Size of Land (m2)]]=0,0,tblFuturePathway[[#This Row],[Land Value]]/tblFuturePathway[[#This Row],[Size of Land (m2)]])</f>
        <v>739.99880573248413</v>
      </c>
      <c r="M42" s="195">
        <v>1858877</v>
      </c>
      <c r="N42" s="195">
        <f>tblFuturePathway[[#This Row],[Direct Construction Cost]]/tblFuturePathway[[#This Row],[Length (m)]]</f>
        <v>736.04189944134077</v>
      </c>
      <c r="O42" s="72">
        <v>263503</v>
      </c>
      <c r="P42" s="111">
        <v>2021</v>
      </c>
      <c r="Q42" s="76">
        <v>0.01</v>
      </c>
      <c r="R42" s="206"/>
      <c r="S42" s="365">
        <f t="shared" si="0"/>
        <v>60606</v>
      </c>
      <c r="T42" s="366">
        <f t="shared" si="1"/>
        <v>7.4999999999999997E-2</v>
      </c>
      <c r="U42" s="365">
        <f t="shared" si="2"/>
        <v>24308</v>
      </c>
      <c r="V42" s="273">
        <v>0</v>
      </c>
      <c r="W42" s="261">
        <v>2024</v>
      </c>
      <c r="X42" s="367">
        <f t="shared" si="6"/>
        <v>1.0556146069383956</v>
      </c>
      <c r="Y42" s="146">
        <f t="shared" si="3"/>
        <v>348417</v>
      </c>
      <c r="Z42" s="235" t="str">
        <f>IFERROR(IF(tblFuturePathway[[#This Row],[Year of Provision]]&gt;2024,VLOOKUP(tblFuturePathway[[#This Row],[Service Catchment]],'Catchment Demand - Pathway'!C$8:M$8,11,FALSE),""),"")</f>
        <v/>
      </c>
      <c r="AA42" s="234" cm="1">
        <f t="array" ref="AA4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42" s="368">
        <f>IF(AND(tblFuturePathway[[#This Row],[Spare Capacity (%)]]&gt;30%,tblFuturePathway[[#This Row],[Share of the total Cost with the same year of provision %]]&gt;20%),(1-tblFuturePathway[[#This Row],[Spare Capacity (%)]]),1)</f>
        <v>1</v>
      </c>
      <c r="AC42" s="368">
        <f>IF(tblFuturePathway[[#This Row],[Terminal Value Analysis]]&lt;0,0,tblFuturePathway[[#This Row],[Terminal Value Analysis]])</f>
        <v>1</v>
      </c>
      <c r="AD42" s="75">
        <f>ROUND(Y42+M42-tblFuturePathway[[#This Row],[Grants and Subsidies ($)]],0)</f>
        <v>2207294</v>
      </c>
      <c r="AE42" s="211">
        <f t="shared" si="7"/>
        <v>2341098</v>
      </c>
      <c r="AF42" s="369">
        <f t="shared" si="4"/>
        <v>1970646</v>
      </c>
      <c r="AG42" s="75">
        <f>tblFuturePathway[[#This Row],[Net Present Value of Establishment Cost]]*tblFuturePathway[[#This Row],[Terminal Value Adjustment (%)]]</f>
        <v>1970646</v>
      </c>
      <c r="AH42" s="370">
        <f t="shared" si="5"/>
        <v>1970646</v>
      </c>
      <c r="AI42" s="371">
        <f>tblFuturePathway[[#This Row],[Net Present Value of Establishment Cost]]*tblFuturePathway[[#This Row],[Terminal Value Adjustment (%)]]</f>
        <v>1970646</v>
      </c>
    </row>
    <row r="43" spans="1:35">
      <c r="A43" s="191"/>
      <c r="B43" s="112" t="s">
        <v>2165</v>
      </c>
      <c r="C43" s="114" t="s">
        <v>2124</v>
      </c>
      <c r="D43" s="111" t="s">
        <v>2224</v>
      </c>
      <c r="E43" s="111" t="s">
        <v>113</v>
      </c>
      <c r="F43" s="111" t="s">
        <v>2197</v>
      </c>
      <c r="G43" s="113"/>
      <c r="H43" s="275">
        <v>621</v>
      </c>
      <c r="I43" s="276" t="s">
        <v>2224</v>
      </c>
      <c r="J43" s="112"/>
      <c r="K43" s="206">
        <v>4967</v>
      </c>
      <c r="L43" s="373">
        <f>IF(tblFuturePathway[[#This Row],[Size of Land (m2)]]=0,0,tblFuturePathway[[#This Row],[Land Value]]/tblFuturePathway[[#This Row],[Size of Land (m2)]])</f>
        <v>7.9810750956311658</v>
      </c>
      <c r="M43" s="195">
        <v>39642</v>
      </c>
      <c r="N43" s="195">
        <f>tblFuturePathway[[#This Row],[Direct Construction Cost]]/tblFuturePathway[[#This Row],[Length (m)]]</f>
        <v>736.04347826086962</v>
      </c>
      <c r="O43" s="72">
        <v>457083</v>
      </c>
      <c r="P43" s="111">
        <v>2021</v>
      </c>
      <c r="Q43" s="76">
        <v>0.01</v>
      </c>
      <c r="R43" s="206"/>
      <c r="S43" s="365">
        <f t="shared" si="0"/>
        <v>105129</v>
      </c>
      <c r="T43" s="366">
        <f t="shared" si="1"/>
        <v>0.15</v>
      </c>
      <c r="U43" s="365">
        <f t="shared" si="2"/>
        <v>84332</v>
      </c>
      <c r="V43" s="273">
        <v>0</v>
      </c>
      <c r="W43" s="261">
        <v>2029</v>
      </c>
      <c r="X43" s="367">
        <f t="shared" si="6"/>
        <v>1.1552634751694639</v>
      </c>
      <c r="Y43" s="146">
        <f t="shared" si="3"/>
        <v>646544</v>
      </c>
      <c r="Z43" s="235">
        <f>IFERROR(IF(tblFuturePathway[[#This Row],[Year of Provision]]&gt;2024,VLOOKUP(tblFuturePathway[[#This Row],[Service Catchment]],'Catchment Demand - Pathway'!C$8:M$8,11,FALSE),""),"")</f>
        <v>0.33960071153808458</v>
      </c>
      <c r="AA43" s="234" cm="1">
        <f t="array" ref="AA4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2.0860644548727574E-3</v>
      </c>
      <c r="AB43" s="368">
        <f>IF(AND(tblFuturePathway[[#This Row],[Spare Capacity (%)]]&gt;30%,tblFuturePathway[[#This Row],[Share of the total Cost with the same year of provision %]]&gt;20%),(1-tblFuturePathway[[#This Row],[Spare Capacity (%)]]),1)</f>
        <v>1</v>
      </c>
      <c r="AC43" s="368">
        <f>IF(tblFuturePathway[[#This Row],[Terminal Value Analysis]]&lt;0,0,tblFuturePathway[[#This Row],[Terminal Value Analysis]])</f>
        <v>1</v>
      </c>
      <c r="AD43" s="75">
        <f>ROUND(Y43+M43-tblFuturePathway[[#This Row],[Grants and Subsidies ($)]],0)</f>
        <v>686186</v>
      </c>
      <c r="AE43" s="211">
        <f t="shared" si="7"/>
        <v>793416</v>
      </c>
      <c r="AF43" s="369">
        <f t="shared" si="4"/>
        <v>501193</v>
      </c>
      <c r="AG43" s="75">
        <f>tblFuturePathway[[#This Row],[Net Present Value of Establishment Cost]]*tblFuturePathway[[#This Row],[Terminal Value Adjustment (%)]]</f>
        <v>501193</v>
      </c>
      <c r="AH43" s="370">
        <f t="shared" si="5"/>
        <v>501193</v>
      </c>
      <c r="AI43" s="371">
        <f>tblFuturePathway[[#This Row],[Net Present Value of Establishment Cost]]*tblFuturePathway[[#This Row],[Terminal Value Adjustment (%)]]</f>
        <v>501193</v>
      </c>
    </row>
    <row r="44" spans="1:35">
      <c r="A44" s="191"/>
      <c r="B44" s="112" t="s">
        <v>2166</v>
      </c>
      <c r="C44" s="114" t="s">
        <v>2125</v>
      </c>
      <c r="D44" s="111" t="s">
        <v>2224</v>
      </c>
      <c r="E44" s="111" t="s">
        <v>113</v>
      </c>
      <c r="F44" s="111" t="s">
        <v>2198</v>
      </c>
      <c r="G44" s="113"/>
      <c r="H44" s="275">
        <v>653</v>
      </c>
      <c r="I44" s="276" t="s">
        <v>2224</v>
      </c>
      <c r="J44" s="112"/>
      <c r="K44" s="206">
        <v>4985</v>
      </c>
      <c r="L44" s="373">
        <f>IF(tblFuturePathway[[#This Row],[Size of Land (m2)]]=0,0,tblFuturePathway[[#This Row],[Land Value]]/tblFuturePathway[[#This Row],[Size of Land (m2)]])</f>
        <v>3.6968906720160479</v>
      </c>
      <c r="M44" s="195">
        <v>18429</v>
      </c>
      <c r="N44" s="195">
        <f>tblFuturePathway[[#This Row],[Direct Construction Cost]]/tblFuturePathway[[#This Row],[Length (m)]]</f>
        <v>736.04287901990813</v>
      </c>
      <c r="O44" s="72">
        <v>480636</v>
      </c>
      <c r="P44" s="111">
        <v>2021</v>
      </c>
      <c r="Q44" s="76">
        <v>0.01</v>
      </c>
      <c r="R44" s="206"/>
      <c r="S44" s="365">
        <f t="shared" si="0"/>
        <v>110546</v>
      </c>
      <c r="T44" s="366">
        <f t="shared" si="1"/>
        <v>7.4999999999999997E-2</v>
      </c>
      <c r="U44" s="365">
        <f t="shared" si="2"/>
        <v>44339</v>
      </c>
      <c r="V44" s="273">
        <v>0</v>
      </c>
      <c r="W44" s="261">
        <v>2024</v>
      </c>
      <c r="X44" s="367">
        <f t="shared" si="6"/>
        <v>1.0556146069383956</v>
      </c>
      <c r="Y44" s="146">
        <f t="shared" si="3"/>
        <v>635521</v>
      </c>
      <c r="Z44" s="235" t="str">
        <f>IFERROR(IF(tblFuturePathway[[#This Row],[Year of Provision]]&gt;2024,VLOOKUP(tblFuturePathway[[#This Row],[Service Catchment]],'Catchment Demand - Pathway'!C$8:M$8,11,FALSE),""),"")</f>
        <v/>
      </c>
      <c r="AA44" s="234" cm="1">
        <f t="array" ref="AA4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44" s="368">
        <f>IF(AND(tblFuturePathway[[#This Row],[Spare Capacity (%)]]&gt;30%,tblFuturePathway[[#This Row],[Share of the total Cost with the same year of provision %]]&gt;20%),(1-tblFuturePathway[[#This Row],[Spare Capacity (%)]]),1)</f>
        <v>1</v>
      </c>
      <c r="AC44" s="368">
        <f>IF(tblFuturePathway[[#This Row],[Terminal Value Analysis]]&lt;0,0,tblFuturePathway[[#This Row],[Terminal Value Analysis]])</f>
        <v>1</v>
      </c>
      <c r="AD44" s="75">
        <f>ROUND(Y44+M44-tblFuturePathway[[#This Row],[Grants and Subsidies ($)]],0)</f>
        <v>653950</v>
      </c>
      <c r="AE44" s="211">
        <f t="shared" si="7"/>
        <v>690429</v>
      </c>
      <c r="AF44" s="369">
        <f t="shared" si="4"/>
        <v>581177</v>
      </c>
      <c r="AG44" s="75">
        <f>tblFuturePathway[[#This Row],[Net Present Value of Establishment Cost]]*tblFuturePathway[[#This Row],[Terminal Value Adjustment (%)]]</f>
        <v>581177</v>
      </c>
      <c r="AH44" s="370">
        <f t="shared" si="5"/>
        <v>581177</v>
      </c>
      <c r="AI44" s="371">
        <f>tblFuturePathway[[#This Row],[Net Present Value of Establishment Cost]]*tblFuturePathway[[#This Row],[Terminal Value Adjustment (%)]]</f>
        <v>581177</v>
      </c>
    </row>
    <row r="45" spans="1:35">
      <c r="A45" s="191"/>
      <c r="B45" s="112" t="s">
        <v>2286</v>
      </c>
      <c r="C45" s="114" t="s">
        <v>2308</v>
      </c>
      <c r="D45" s="111" t="s">
        <v>2365</v>
      </c>
      <c r="E45" s="111" t="s">
        <v>113</v>
      </c>
      <c r="F45" s="111" t="s">
        <v>2317</v>
      </c>
      <c r="G45" s="113"/>
      <c r="H45" s="275">
        <v>410</v>
      </c>
      <c r="I45" s="276" t="s">
        <v>2365</v>
      </c>
      <c r="J45" s="112"/>
      <c r="K45" s="206">
        <v>0</v>
      </c>
      <c r="L45" s="373">
        <f>IF(tblFuturePathway[[#This Row],[Size of Land (m2)]]=0,0,tblFuturePathway[[#This Row],[Land Value]]/tblFuturePathway[[#This Row],[Size of Land (m2)]])</f>
        <v>0</v>
      </c>
      <c r="M45" s="195">
        <v>0</v>
      </c>
      <c r="N45" s="195">
        <f>tblFuturePathway[[#This Row],[Direct Construction Cost]]/tblFuturePathway[[#This Row],[Length (m)]]</f>
        <v>244124.32439024391</v>
      </c>
      <c r="O45" s="72">
        <v>100090973</v>
      </c>
      <c r="P45" s="111">
        <v>2021</v>
      </c>
      <c r="Q45" s="76">
        <v>0.01</v>
      </c>
      <c r="R45" s="206"/>
      <c r="S45" s="365">
        <f t="shared" si="0"/>
        <v>23020924</v>
      </c>
      <c r="T45" s="366">
        <f t="shared" si="1"/>
        <v>7.4999999999999997E-2</v>
      </c>
      <c r="U45" s="365">
        <f t="shared" si="2"/>
        <v>9233392</v>
      </c>
      <c r="V45" s="273">
        <v>0</v>
      </c>
      <c r="W45" s="261">
        <v>2024</v>
      </c>
      <c r="X45" s="367">
        <f t="shared" si="6"/>
        <v>1.0556146069383956</v>
      </c>
      <c r="Y45" s="146">
        <f t="shared" si="3"/>
        <v>132345289</v>
      </c>
      <c r="Z45" s="235" t="str">
        <f>IFERROR(IF(tblFuturePathway[[#This Row],[Year of Provision]]&gt;2024,VLOOKUP(tblFuturePathway[[#This Row],[Service Catchment]],'Catchment Demand - Pathway'!C$8:M$8,11,FALSE),""),"")</f>
        <v/>
      </c>
      <c r="AA45" s="234" cm="1">
        <f t="array" ref="AA4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45" s="368">
        <f>IF(AND(tblFuturePathway[[#This Row],[Spare Capacity (%)]]&gt;30%,tblFuturePathway[[#This Row],[Share of the total Cost with the same year of provision %]]&gt;20%),(1-tblFuturePathway[[#This Row],[Spare Capacity (%)]]),1)</f>
        <v>1</v>
      </c>
      <c r="AC45" s="368">
        <f>IF(tblFuturePathway[[#This Row],[Terminal Value Analysis]]&lt;0,0,tblFuturePathway[[#This Row],[Terminal Value Analysis]])</f>
        <v>1</v>
      </c>
      <c r="AD45" s="75">
        <f>ROUND(Y45+M45-tblFuturePathway[[#This Row],[Grants and Subsidies ($)]],0)</f>
        <v>132345289</v>
      </c>
      <c r="AE45" s="211">
        <f t="shared" si="7"/>
        <v>139705620</v>
      </c>
      <c r="AF45" s="369">
        <f t="shared" si="4"/>
        <v>117598822</v>
      </c>
      <c r="AG45" s="75">
        <f>tblFuturePathway[[#This Row],[Net Present Value of Establishment Cost]]*tblFuturePathway[[#This Row],[Terminal Value Adjustment (%)]]</f>
        <v>117598822</v>
      </c>
      <c r="AH45" s="370">
        <f t="shared" si="5"/>
        <v>117598822</v>
      </c>
      <c r="AI45" s="371">
        <f>tblFuturePathway[[#This Row],[Net Present Value of Establishment Cost]]*tblFuturePathway[[#This Row],[Terminal Value Adjustment (%)]]</f>
        <v>117598822</v>
      </c>
    </row>
    <row r="46" spans="1:35">
      <c r="A46" s="191"/>
      <c r="B46" s="112" t="s">
        <v>2286</v>
      </c>
      <c r="C46" s="114" t="s">
        <v>2396</v>
      </c>
      <c r="D46" s="111" t="s">
        <v>2226</v>
      </c>
      <c r="E46" s="111" t="s">
        <v>113</v>
      </c>
      <c r="F46" s="111" t="s">
        <v>2336</v>
      </c>
      <c r="G46" s="113"/>
      <c r="H46" s="275">
        <v>707</v>
      </c>
      <c r="I46" s="276" t="s">
        <v>2226</v>
      </c>
      <c r="J46" s="112"/>
      <c r="K46" s="206">
        <v>0</v>
      </c>
      <c r="L46" s="373">
        <f>IF(tblFuturePathway[[#This Row],[Size of Land (m2)]]=0,0,tblFuturePathway[[#This Row],[Land Value]]/tblFuturePathway[[#This Row],[Size of Land (m2)]])</f>
        <v>0</v>
      </c>
      <c r="M46" s="195">
        <v>0</v>
      </c>
      <c r="N46" s="195">
        <f>tblFuturePathway[[#This Row],[Direct Construction Cost]]/tblFuturePathway[[#This Row],[Length (m)]]</f>
        <v>60383.06223479491</v>
      </c>
      <c r="O46" s="72">
        <v>42690825</v>
      </c>
      <c r="P46" s="111">
        <v>2021</v>
      </c>
      <c r="Q46" s="76">
        <v>0.01</v>
      </c>
      <c r="R46" s="206"/>
      <c r="S46" s="365">
        <f t="shared" si="0"/>
        <v>9818890</v>
      </c>
      <c r="T46" s="366">
        <f t="shared" si="1"/>
        <v>0.15</v>
      </c>
      <c r="U46" s="365">
        <f t="shared" si="2"/>
        <v>7876457</v>
      </c>
      <c r="V46" s="273">
        <v>20000000</v>
      </c>
      <c r="W46" s="261">
        <v>2029</v>
      </c>
      <c r="X46" s="367">
        <f t="shared" si="6"/>
        <v>1.1552634751694639</v>
      </c>
      <c r="Y46" s="146">
        <f t="shared" si="3"/>
        <v>60386172</v>
      </c>
      <c r="Z46" s="235">
        <f>IFERROR(IF(tblFuturePathway[[#This Row],[Year of Provision]]&gt;2024,VLOOKUP(tblFuturePathway[[#This Row],[Service Catchment]],'Catchment Demand - Pathway'!C$8:M$8,11,FALSE),""),"")</f>
        <v>0.33960071153808458</v>
      </c>
      <c r="AA46" s="234" cm="1">
        <f t="array" ref="AA4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0.18341950838057924</v>
      </c>
      <c r="AB46" s="368">
        <f>IF(AND(tblFuturePathway[[#This Row],[Spare Capacity (%)]]&gt;30%,tblFuturePathway[[#This Row],[Share of the total Cost with the same year of provision %]]&gt;20%),(1-tblFuturePathway[[#This Row],[Spare Capacity (%)]]),1)</f>
        <v>1</v>
      </c>
      <c r="AC46" s="368">
        <f>IF(tblFuturePathway[[#This Row],[Terminal Value Analysis]]&lt;0,0,tblFuturePathway[[#This Row],[Terminal Value Analysis]])</f>
        <v>1</v>
      </c>
      <c r="AD46" s="75">
        <f>ROUND(Y46+M46-tblFuturePathway[[#This Row],[Grants and Subsidies ($)]],0)</f>
        <v>40386172</v>
      </c>
      <c r="AE46" s="211">
        <f t="shared" si="7"/>
        <v>69761939</v>
      </c>
      <c r="AF46" s="369">
        <f t="shared" si="4"/>
        <v>44067945</v>
      </c>
      <c r="AG46" s="75">
        <f>tblFuturePathway[[#This Row],[Net Present Value of Establishment Cost]]*tblFuturePathway[[#This Row],[Terminal Value Adjustment (%)]]</f>
        <v>44067945</v>
      </c>
      <c r="AH46" s="370">
        <f t="shared" si="5"/>
        <v>44067945</v>
      </c>
      <c r="AI46" s="371">
        <f>tblFuturePathway[[#This Row],[Net Present Value of Establishment Cost]]*tblFuturePathway[[#This Row],[Terminal Value Adjustment (%)]]</f>
        <v>44067945</v>
      </c>
    </row>
    <row r="47" spans="1:35">
      <c r="A47" s="191"/>
      <c r="B47" s="112" t="s">
        <v>2468</v>
      </c>
      <c r="C47" s="114" t="s">
        <v>2378</v>
      </c>
      <c r="D47" s="111" t="s">
        <v>2225</v>
      </c>
      <c r="E47" s="111" t="s">
        <v>113</v>
      </c>
      <c r="F47" s="111" t="s">
        <v>2342</v>
      </c>
      <c r="G47" s="113"/>
      <c r="H47" s="275">
        <v>1679</v>
      </c>
      <c r="I47" s="276" t="s">
        <v>2225</v>
      </c>
      <c r="J47" s="112"/>
      <c r="K47" s="206">
        <v>11411</v>
      </c>
      <c r="L47" s="373">
        <f>IF(tblFuturePathway[[#This Row],[Size of Land (m2)]]=0,0,tblFuturePathway[[#This Row],[Land Value]]/tblFuturePathway[[#This Row],[Size of Land (m2)]])</f>
        <v>44.74498291122601</v>
      </c>
      <c r="M47" s="195">
        <v>510585</v>
      </c>
      <c r="N47" s="195">
        <f>tblFuturePathway[[#This Row],[Direct Construction Cost]]/tblFuturePathway[[#This Row],[Length (m)]]</f>
        <v>736.04288266825495</v>
      </c>
      <c r="O47" s="72">
        <v>1235816</v>
      </c>
      <c r="P47" s="111">
        <v>2021</v>
      </c>
      <c r="Q47" s="76">
        <v>0.01</v>
      </c>
      <c r="R47" s="206"/>
      <c r="S47" s="365">
        <f t="shared" ref="S47:S80" si="8">ROUND((O47)*23%,0)</f>
        <v>284238</v>
      </c>
      <c r="T47" s="366">
        <f t="shared" ref="T47:T80" si="9">IF(W47="","",IF(W47&lt;=YEAR+5,0.075,IF(AND(W47&gt;YEAR+5,W47&lt;=YEAR+10),0.15,IF(AND(W47&gt;YEAR+10,W47&lt;=YEAR+20),0.2,IF(W47&gt;YEAR+20,0.25,"")))))</f>
        <v>0.15</v>
      </c>
      <c r="U47" s="365">
        <f t="shared" ref="U47:U80" si="10">ROUND((O47+S47)*T47,0)</f>
        <v>228008</v>
      </c>
      <c r="V47" s="273">
        <v>0</v>
      </c>
      <c r="W47" s="261">
        <v>2029</v>
      </c>
      <c r="X47" s="367">
        <f t="shared" ref="X47:X80" si="11">(1+PPI)^(W47-YEAR)</f>
        <v>1.1552634751694639</v>
      </c>
      <c r="Y47" s="146">
        <f t="shared" ref="Y47:Y80" si="12">ROUND(U47+S47+O47,0)</f>
        <v>1748062</v>
      </c>
      <c r="Z47" s="235">
        <f>IFERROR(IF(tblFuturePathway[[#This Row],[Year of Provision]]&gt;2024,VLOOKUP(tblFuturePathway[[#This Row],[Service Catchment]],'Catchment Demand - Pathway'!C$8:M$8,11,FALSE),""),"")</f>
        <v>0.33960071153808458</v>
      </c>
      <c r="AA47" s="234" cm="1">
        <f t="array" ref="AA4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6.88390073795644E-3</v>
      </c>
      <c r="AB47" s="368">
        <f>IF(AND(tblFuturePathway[[#This Row],[Spare Capacity (%)]]&gt;30%,tblFuturePathway[[#This Row],[Share of the total Cost with the same year of provision %]]&gt;20%),(1-tblFuturePathway[[#This Row],[Spare Capacity (%)]]),1)</f>
        <v>1</v>
      </c>
      <c r="AC47" s="368">
        <f>IF(tblFuturePathway[[#This Row],[Terminal Value Analysis]]&lt;0,0,tblFuturePathway[[#This Row],[Terminal Value Analysis]])</f>
        <v>1</v>
      </c>
      <c r="AD47" s="75">
        <f>ROUND(Y47+M47-tblFuturePathway[[#This Row],[Grants and Subsidies ($)]],0)</f>
        <v>2258647</v>
      </c>
      <c r="AE47" s="211">
        <f t="shared" ref="AE47:AE80" si="13">IFERROR(ROUND((Y47*X47+(M47*((1+Landind)^(W47-YEAR)))),0),0)</f>
        <v>2618229</v>
      </c>
      <c r="AF47" s="369">
        <f t="shared" ref="AF47:AF80" si="14">ROUND((AE47*(1/(1+WACC))^(W47-YEAR)),0)</f>
        <v>1653910</v>
      </c>
      <c r="AG47" s="75">
        <f>tblFuturePathway[[#This Row],[Net Present Value of Establishment Cost]]*tblFuturePathway[[#This Row],[Terminal Value Adjustment (%)]]</f>
        <v>1653910</v>
      </c>
      <c r="AH47" s="370">
        <f t="shared" ref="AH47:AH80" si="15">AF47</f>
        <v>1653910</v>
      </c>
      <c r="AI47" s="371">
        <f>tblFuturePathway[[#This Row],[Net Present Value of Establishment Cost]]*tblFuturePathway[[#This Row],[Terminal Value Adjustment (%)]]</f>
        <v>1653910</v>
      </c>
    </row>
    <row r="48" spans="1:35">
      <c r="A48" s="191"/>
      <c r="B48" s="112" t="s">
        <v>2163</v>
      </c>
      <c r="C48" s="114" t="s">
        <v>2128</v>
      </c>
      <c r="D48" s="111" t="s">
        <v>2224</v>
      </c>
      <c r="E48" s="111" t="s">
        <v>113</v>
      </c>
      <c r="F48" s="111" t="s">
        <v>2201</v>
      </c>
      <c r="G48" s="113"/>
      <c r="H48" s="275">
        <v>411</v>
      </c>
      <c r="I48" s="276" t="s">
        <v>2224</v>
      </c>
      <c r="J48" s="112"/>
      <c r="K48" s="206">
        <v>3189</v>
      </c>
      <c r="L48" s="373">
        <f>IF(tblFuturePathway[[#This Row],[Size of Land (m2)]]=0,0,tblFuturePathway[[#This Row],[Land Value]]/tblFuturePathway[[#This Row],[Size of Land (m2)]])</f>
        <v>10.050172467858262</v>
      </c>
      <c r="M48" s="195">
        <v>32050</v>
      </c>
      <c r="N48" s="195">
        <f>tblFuturePathway[[#This Row],[Direct Construction Cost]]/tblFuturePathway[[#This Row],[Length (m)]]</f>
        <v>736.043795620438</v>
      </c>
      <c r="O48" s="72">
        <v>302514</v>
      </c>
      <c r="P48" s="111">
        <v>2021</v>
      </c>
      <c r="Q48" s="76">
        <v>0.01</v>
      </c>
      <c r="R48" s="206"/>
      <c r="S48" s="365">
        <f t="shared" si="8"/>
        <v>69578</v>
      </c>
      <c r="T48" s="366">
        <f t="shared" si="9"/>
        <v>7.4999999999999997E-2</v>
      </c>
      <c r="U48" s="365">
        <f t="shared" si="10"/>
        <v>27907</v>
      </c>
      <c r="V48" s="273">
        <v>0</v>
      </c>
      <c r="W48" s="261">
        <v>2024</v>
      </c>
      <c r="X48" s="367">
        <f t="shared" si="11"/>
        <v>1.0556146069383956</v>
      </c>
      <c r="Y48" s="146">
        <f t="shared" si="12"/>
        <v>399999</v>
      </c>
      <c r="Z48" s="235" t="str">
        <f>IFERROR(IF(tblFuturePathway[[#This Row],[Year of Provision]]&gt;2024,VLOOKUP(tblFuturePathway[[#This Row],[Service Catchment]],'Catchment Demand - Pathway'!C$8:M$8,11,FALSE),""),"")</f>
        <v/>
      </c>
      <c r="AA48" s="234" cm="1">
        <f t="array" ref="AA4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48" s="368">
        <f>IF(AND(tblFuturePathway[[#This Row],[Spare Capacity (%)]]&gt;30%,tblFuturePathway[[#This Row],[Share of the total Cost with the same year of provision %]]&gt;20%),(1-tblFuturePathway[[#This Row],[Spare Capacity (%)]]),1)</f>
        <v>1</v>
      </c>
      <c r="AC48" s="368">
        <f>IF(tblFuturePathway[[#This Row],[Terminal Value Analysis]]&lt;0,0,tblFuturePathway[[#This Row],[Terminal Value Analysis]])</f>
        <v>1</v>
      </c>
      <c r="AD48" s="75">
        <f>ROUND(Y48+M48-tblFuturePathway[[#This Row],[Grants and Subsidies ($)]],0)</f>
        <v>432049</v>
      </c>
      <c r="AE48" s="211">
        <f t="shared" si="13"/>
        <v>456268</v>
      </c>
      <c r="AF48" s="369">
        <f t="shared" si="14"/>
        <v>384069</v>
      </c>
      <c r="AG48" s="75">
        <f>tblFuturePathway[[#This Row],[Net Present Value of Establishment Cost]]*tblFuturePathway[[#This Row],[Terminal Value Adjustment (%)]]</f>
        <v>384069</v>
      </c>
      <c r="AH48" s="370">
        <f t="shared" si="15"/>
        <v>384069</v>
      </c>
      <c r="AI48" s="371">
        <f>tblFuturePathway[[#This Row],[Net Present Value of Establishment Cost]]*tblFuturePathway[[#This Row],[Terminal Value Adjustment (%)]]</f>
        <v>384069</v>
      </c>
    </row>
    <row r="49" spans="1:35">
      <c r="A49" s="191"/>
      <c r="B49" s="112" t="s">
        <v>2155</v>
      </c>
      <c r="C49" s="114" t="s">
        <v>2129</v>
      </c>
      <c r="D49" s="111" t="s">
        <v>2224</v>
      </c>
      <c r="E49" s="111" t="s">
        <v>113</v>
      </c>
      <c r="F49" s="111" t="s">
        <v>2202</v>
      </c>
      <c r="G49" s="113"/>
      <c r="H49" s="275">
        <v>266</v>
      </c>
      <c r="I49" s="276" t="s">
        <v>2224</v>
      </c>
      <c r="J49" s="112"/>
      <c r="K49" s="206">
        <v>2126</v>
      </c>
      <c r="L49" s="373">
        <f>IF(tblFuturePathway[[#This Row],[Size of Land (m2)]]=0,0,tblFuturePathway[[#This Row],[Land Value]]/tblFuturePathway[[#This Row],[Size of Land (m2)]])</f>
        <v>60.508936970837254</v>
      </c>
      <c r="M49" s="195">
        <v>128642</v>
      </c>
      <c r="N49" s="195">
        <f>tblFuturePathway[[#This Row],[Direct Construction Cost]]/tblFuturePathway[[#This Row],[Length (m)]]</f>
        <v>736.04135338345861</v>
      </c>
      <c r="O49" s="72">
        <v>195787</v>
      </c>
      <c r="P49" s="111">
        <v>2021</v>
      </c>
      <c r="Q49" s="76">
        <v>0.01</v>
      </c>
      <c r="R49" s="206"/>
      <c r="S49" s="365">
        <f t="shared" si="8"/>
        <v>45031</v>
      </c>
      <c r="T49" s="366">
        <f t="shared" si="9"/>
        <v>0.15</v>
      </c>
      <c r="U49" s="365">
        <f t="shared" si="10"/>
        <v>36123</v>
      </c>
      <c r="V49" s="273">
        <v>0</v>
      </c>
      <c r="W49" s="261">
        <v>2029</v>
      </c>
      <c r="X49" s="367">
        <f t="shared" si="11"/>
        <v>1.1552634751694639</v>
      </c>
      <c r="Y49" s="146">
        <f t="shared" si="12"/>
        <v>276941</v>
      </c>
      <c r="Z49" s="235">
        <f>IFERROR(IF(tblFuturePathway[[#This Row],[Year of Provision]]&gt;2024,VLOOKUP(tblFuturePathway[[#This Row],[Service Catchment]],'Catchment Demand - Pathway'!C$8:M$8,11,FALSE),""),"")</f>
        <v>0.33960071153808458</v>
      </c>
      <c r="AA49" s="234" cm="1">
        <f t="array" ref="AA4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1.2378293327126441E-3</v>
      </c>
      <c r="AB49" s="368">
        <f>IF(AND(tblFuturePathway[[#This Row],[Spare Capacity (%)]]&gt;30%,tblFuturePathway[[#This Row],[Share of the total Cost with the same year of provision %]]&gt;20%),(1-tblFuturePathway[[#This Row],[Spare Capacity (%)]]),1)</f>
        <v>1</v>
      </c>
      <c r="AC49" s="368">
        <f>IF(tblFuturePathway[[#This Row],[Terminal Value Analysis]]&lt;0,0,tblFuturePathway[[#This Row],[Terminal Value Analysis]])</f>
        <v>1</v>
      </c>
      <c r="AD49" s="75">
        <f>ROUND(Y49+M49-tblFuturePathway[[#This Row],[Grants and Subsidies ($)]],0)</f>
        <v>405583</v>
      </c>
      <c r="AE49" s="211">
        <f t="shared" si="13"/>
        <v>470797</v>
      </c>
      <c r="AF49" s="369">
        <f t="shared" si="14"/>
        <v>297398</v>
      </c>
      <c r="AG49" s="75">
        <f>tblFuturePathway[[#This Row],[Net Present Value of Establishment Cost]]*tblFuturePathway[[#This Row],[Terminal Value Adjustment (%)]]</f>
        <v>297398</v>
      </c>
      <c r="AH49" s="370">
        <f t="shared" si="15"/>
        <v>297398</v>
      </c>
      <c r="AI49" s="371">
        <f>tblFuturePathway[[#This Row],[Net Present Value of Establishment Cost]]*tblFuturePathway[[#This Row],[Terminal Value Adjustment (%)]]</f>
        <v>297398</v>
      </c>
    </row>
    <row r="50" spans="1:35">
      <c r="A50" s="191"/>
      <c r="B50" s="112" t="s">
        <v>2167</v>
      </c>
      <c r="C50" s="114" t="s">
        <v>2130</v>
      </c>
      <c r="D50" s="111" t="s">
        <v>2224</v>
      </c>
      <c r="E50" s="111" t="s">
        <v>113</v>
      </c>
      <c r="F50" s="111" t="s">
        <v>2203</v>
      </c>
      <c r="G50" s="113"/>
      <c r="H50" s="275">
        <v>171</v>
      </c>
      <c r="I50" s="276" t="s">
        <v>2224</v>
      </c>
      <c r="J50" s="112"/>
      <c r="K50" s="206">
        <v>1270</v>
      </c>
      <c r="L50" s="373">
        <f>IF(tblFuturePathway[[#This Row],[Size of Land (m2)]]=0,0,tblFuturePathway[[#This Row],[Land Value]]/tblFuturePathway[[#This Row],[Size of Land (m2)]])</f>
        <v>9.1204724409448819</v>
      </c>
      <c r="M50" s="195">
        <v>11583</v>
      </c>
      <c r="N50" s="195">
        <f>tblFuturePathway[[#This Row],[Direct Construction Cost]]/tblFuturePathway[[#This Row],[Length (m)]]</f>
        <v>815.61403508771934</v>
      </c>
      <c r="O50" s="72">
        <v>139470</v>
      </c>
      <c r="P50" s="111">
        <v>2021</v>
      </c>
      <c r="Q50" s="76">
        <v>0.01</v>
      </c>
      <c r="R50" s="206"/>
      <c r="S50" s="365">
        <f t="shared" si="8"/>
        <v>32078</v>
      </c>
      <c r="T50" s="366">
        <f t="shared" si="9"/>
        <v>7.4999999999999997E-2</v>
      </c>
      <c r="U50" s="365">
        <f t="shared" si="10"/>
        <v>12866</v>
      </c>
      <c r="V50" s="273">
        <v>0</v>
      </c>
      <c r="W50" s="261">
        <v>2024</v>
      </c>
      <c r="X50" s="367">
        <f t="shared" si="11"/>
        <v>1.0556146069383956</v>
      </c>
      <c r="Y50" s="146">
        <f t="shared" si="12"/>
        <v>184414</v>
      </c>
      <c r="Z50" s="235" t="str">
        <f>IFERROR(IF(tblFuturePathway[[#This Row],[Year of Provision]]&gt;2024,VLOOKUP(tblFuturePathway[[#This Row],[Service Catchment]],'Catchment Demand - Pathway'!C$8:M$8,11,FALSE),""),"")</f>
        <v/>
      </c>
      <c r="AA50" s="234" cm="1">
        <f t="array" ref="AA5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50" s="368">
        <f>IF(AND(tblFuturePathway[[#This Row],[Spare Capacity (%)]]&gt;30%,tblFuturePathway[[#This Row],[Share of the total Cost with the same year of provision %]]&gt;20%),(1-tblFuturePathway[[#This Row],[Spare Capacity (%)]]),1)</f>
        <v>1</v>
      </c>
      <c r="AC50" s="368">
        <f>IF(tblFuturePathway[[#This Row],[Terminal Value Analysis]]&lt;0,0,tblFuturePathway[[#This Row],[Terminal Value Analysis]])</f>
        <v>1</v>
      </c>
      <c r="AD50" s="75">
        <f>ROUND(Y50+M50-tblFuturePathway[[#This Row],[Grants and Subsidies ($)]],0)</f>
        <v>195997</v>
      </c>
      <c r="AE50" s="211">
        <f t="shared" si="13"/>
        <v>206966</v>
      </c>
      <c r="AF50" s="369">
        <f t="shared" si="14"/>
        <v>174216</v>
      </c>
      <c r="AG50" s="75">
        <f>tblFuturePathway[[#This Row],[Net Present Value of Establishment Cost]]*tblFuturePathway[[#This Row],[Terminal Value Adjustment (%)]]</f>
        <v>174216</v>
      </c>
      <c r="AH50" s="370">
        <f t="shared" si="15"/>
        <v>174216</v>
      </c>
      <c r="AI50" s="371">
        <f>tblFuturePathway[[#This Row],[Net Present Value of Establishment Cost]]*tblFuturePathway[[#This Row],[Terminal Value Adjustment (%)]]</f>
        <v>174216</v>
      </c>
    </row>
    <row r="51" spans="1:35">
      <c r="A51" s="191"/>
      <c r="B51" s="112" t="s">
        <v>2162</v>
      </c>
      <c r="C51" s="114" t="s">
        <v>2397</v>
      </c>
      <c r="D51" s="111" t="s">
        <v>2224</v>
      </c>
      <c r="E51" s="111" t="s">
        <v>113</v>
      </c>
      <c r="F51" s="111" t="s">
        <v>2343</v>
      </c>
      <c r="G51" s="113"/>
      <c r="H51" s="275">
        <v>489</v>
      </c>
      <c r="I51" s="276" t="s">
        <v>2224</v>
      </c>
      <c r="J51" s="112"/>
      <c r="K51" s="206">
        <v>3464</v>
      </c>
      <c r="L51" s="373">
        <f>IF(tblFuturePathway[[#This Row],[Size of Land (m2)]]=0,0,tblFuturePathway[[#This Row],[Land Value]]/tblFuturePathway[[#This Row],[Size of Land (m2)]])</f>
        <v>18.831986143187066</v>
      </c>
      <c r="M51" s="195">
        <v>65234</v>
      </c>
      <c r="N51" s="195">
        <f>tblFuturePathway[[#This Row],[Direct Construction Cost]]/tblFuturePathway[[#This Row],[Length (m)]]</f>
        <v>736.04294478527606</v>
      </c>
      <c r="O51" s="72">
        <v>359925</v>
      </c>
      <c r="P51" s="111">
        <v>2021</v>
      </c>
      <c r="Q51" s="76">
        <v>0.01</v>
      </c>
      <c r="R51" s="206"/>
      <c r="S51" s="365">
        <f t="shared" si="8"/>
        <v>82783</v>
      </c>
      <c r="T51" s="366">
        <f t="shared" si="9"/>
        <v>0.15</v>
      </c>
      <c r="U51" s="365">
        <f t="shared" si="10"/>
        <v>66406</v>
      </c>
      <c r="V51" s="273">
        <v>0</v>
      </c>
      <c r="W51" s="261">
        <v>2029</v>
      </c>
      <c r="X51" s="367">
        <f t="shared" si="11"/>
        <v>1.1552634751694639</v>
      </c>
      <c r="Y51" s="146">
        <f t="shared" si="12"/>
        <v>509114</v>
      </c>
      <c r="Z51" s="235">
        <f>IFERROR(IF(tblFuturePathway[[#This Row],[Year of Provision]]&gt;2024,VLOOKUP(tblFuturePathway[[#This Row],[Service Catchment]],'Catchment Demand - Pathway'!C$8:M$8,11,FALSE),""),"")</f>
        <v>0.33960071153808458</v>
      </c>
      <c r="AA51" s="234" cm="1">
        <f t="array" ref="AA5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1.7475362504233319E-3</v>
      </c>
      <c r="AB51" s="368">
        <f>IF(AND(tblFuturePathway[[#This Row],[Spare Capacity (%)]]&gt;30%,tblFuturePathway[[#This Row],[Share of the total Cost with the same year of provision %]]&gt;20%),(1-tblFuturePathway[[#This Row],[Spare Capacity (%)]]),1)</f>
        <v>1</v>
      </c>
      <c r="AC51" s="368">
        <f>IF(tblFuturePathway[[#This Row],[Terminal Value Analysis]]&lt;0,0,tblFuturePathway[[#This Row],[Terminal Value Analysis]])</f>
        <v>1</v>
      </c>
      <c r="AD51" s="75">
        <f>ROUND(Y51+M51-tblFuturePathway[[#This Row],[Grants and Subsidies ($)]],0)</f>
        <v>574348</v>
      </c>
      <c r="AE51" s="211">
        <f t="shared" si="13"/>
        <v>664660</v>
      </c>
      <c r="AF51" s="369">
        <f t="shared" si="14"/>
        <v>419859</v>
      </c>
      <c r="AG51" s="75">
        <f>tblFuturePathway[[#This Row],[Net Present Value of Establishment Cost]]*tblFuturePathway[[#This Row],[Terminal Value Adjustment (%)]]</f>
        <v>419859</v>
      </c>
      <c r="AH51" s="370">
        <f t="shared" si="15"/>
        <v>419859</v>
      </c>
      <c r="AI51" s="371">
        <f>tblFuturePathway[[#This Row],[Net Present Value of Establishment Cost]]*tblFuturePathway[[#This Row],[Terminal Value Adjustment (%)]]</f>
        <v>419859</v>
      </c>
    </row>
    <row r="52" spans="1:35">
      <c r="A52" s="191"/>
      <c r="B52" s="112" t="s">
        <v>2162</v>
      </c>
      <c r="C52" s="114" t="s">
        <v>2398</v>
      </c>
      <c r="D52" s="111" t="s">
        <v>2224</v>
      </c>
      <c r="E52" s="111" t="s">
        <v>113</v>
      </c>
      <c r="F52" s="111" t="s">
        <v>2344</v>
      </c>
      <c r="G52" s="113"/>
      <c r="H52" s="275">
        <v>427</v>
      </c>
      <c r="I52" s="276" t="s">
        <v>2224</v>
      </c>
      <c r="J52" s="112"/>
      <c r="K52" s="206">
        <v>3007</v>
      </c>
      <c r="L52" s="373">
        <f>IF(tblFuturePathway[[#This Row],[Size of Land (m2)]]=0,0,tblFuturePathway[[#This Row],[Land Value]]/tblFuturePathway[[#This Row],[Size of Land (m2)]])</f>
        <v>400.75723312271367</v>
      </c>
      <c r="M52" s="195">
        <v>1205077</v>
      </c>
      <c r="N52" s="195">
        <f>tblFuturePathway[[#This Row],[Direct Construction Cost]]/tblFuturePathway[[#This Row],[Length (m)]]</f>
        <v>736.04215456674478</v>
      </c>
      <c r="O52" s="72">
        <v>314290</v>
      </c>
      <c r="P52" s="111">
        <v>2021</v>
      </c>
      <c r="Q52" s="76">
        <v>0.01</v>
      </c>
      <c r="R52" s="206"/>
      <c r="S52" s="365">
        <f t="shared" si="8"/>
        <v>72287</v>
      </c>
      <c r="T52" s="366">
        <f t="shared" si="9"/>
        <v>0.2</v>
      </c>
      <c r="U52" s="365">
        <f t="shared" si="10"/>
        <v>77315</v>
      </c>
      <c r="V52" s="273">
        <v>0</v>
      </c>
      <c r="W52" s="261">
        <v>2034</v>
      </c>
      <c r="X52" s="367">
        <f t="shared" si="11"/>
        <v>1.2643190879401258</v>
      </c>
      <c r="Y52" s="146">
        <f t="shared" si="12"/>
        <v>463892</v>
      </c>
      <c r="Z52" s="235">
        <f>IFERROR(IF(tblFuturePathway[[#This Row],[Year of Provision]]&gt;2024,VLOOKUP(tblFuturePathway[[#This Row],[Service Catchment]],'Catchment Demand - Pathway'!C$8:M$8,11,FALSE),""),"")</f>
        <v>0.33960071153808458</v>
      </c>
      <c r="AA52" s="234" cm="1">
        <f t="array" ref="AA5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0.38026104706429437</v>
      </c>
      <c r="AB52" s="368">
        <f>IF(AND(tblFuturePathway[[#This Row],[Spare Capacity (%)]]&gt;30%,tblFuturePathway[[#This Row],[Share of the total Cost with the same year of provision %]]&gt;20%),(1-tblFuturePathway[[#This Row],[Spare Capacity (%)]]),1)</f>
        <v>0.66039928846191542</v>
      </c>
      <c r="AC52" s="368">
        <f>IF(tblFuturePathway[[#This Row],[Terminal Value Analysis]]&lt;0,0,tblFuturePathway[[#This Row],[Terminal Value Analysis]])</f>
        <v>0.66039928846191542</v>
      </c>
      <c r="AD52" s="75">
        <f>ROUND(Y52+M52-tblFuturePathway[[#This Row],[Grants and Subsidies ($)]],0)</f>
        <v>1668969</v>
      </c>
      <c r="AE52" s="211">
        <f t="shared" si="13"/>
        <v>2147627</v>
      </c>
      <c r="AF52" s="369">
        <f t="shared" si="14"/>
        <v>1018071</v>
      </c>
      <c r="AG52" s="75">
        <f>tblFuturePathway[[#This Row],[Net Present Value of Establishment Cost]]*tblFuturePathway[[#This Row],[Terminal Value Adjustment (%)]]</f>
        <v>672333.36400371068</v>
      </c>
      <c r="AH52" s="370">
        <f t="shared" si="15"/>
        <v>1018071</v>
      </c>
      <c r="AI52" s="371">
        <f>tblFuturePathway[[#This Row],[Net Present Value of Establishment Cost]]*tblFuturePathway[[#This Row],[Terminal Value Adjustment (%)]]</f>
        <v>672333.36400371068</v>
      </c>
    </row>
    <row r="53" spans="1:35">
      <c r="A53" s="191"/>
      <c r="B53" s="112" t="s">
        <v>2469</v>
      </c>
      <c r="C53" s="114" t="s">
        <v>2462</v>
      </c>
      <c r="D53" s="111" t="s">
        <v>2225</v>
      </c>
      <c r="E53" s="111" t="s">
        <v>113</v>
      </c>
      <c r="F53" s="111" t="s">
        <v>2490</v>
      </c>
      <c r="G53" s="113"/>
      <c r="H53" s="275">
        <v>487</v>
      </c>
      <c r="I53" s="276" t="s">
        <v>2225</v>
      </c>
      <c r="J53" s="112"/>
      <c r="K53" s="206">
        <v>3535</v>
      </c>
      <c r="L53" s="373">
        <f>IF(tblFuturePathway[[#This Row],[Size of Land (m2)]]=0,0,tblFuturePathway[[#This Row],[Land Value]]/tblFuturePathway[[#This Row],[Size of Land (m2)]])</f>
        <v>6.2752475247524755</v>
      </c>
      <c r="M53" s="195">
        <v>22183</v>
      </c>
      <c r="N53" s="195">
        <f>tblFuturePathway[[#This Row],[Direct Construction Cost]]/tblFuturePathway[[#This Row],[Length (m)]]</f>
        <v>736.04312114989727</v>
      </c>
      <c r="O53" s="72">
        <v>358453</v>
      </c>
      <c r="P53" s="111">
        <v>2021</v>
      </c>
      <c r="Q53" s="76">
        <v>0.01</v>
      </c>
      <c r="R53" s="206"/>
      <c r="S53" s="365">
        <f>ROUND((O53)*23%,0)</f>
        <v>82444</v>
      </c>
      <c r="T53" s="366">
        <f>IF(W53="","",IF(W53&lt;=YEAR+5,0.075,IF(AND(W53&gt;YEAR+5,W53&lt;=YEAR+10),0.15,IF(AND(W53&gt;YEAR+10,W53&lt;=YEAR+20),0.2,IF(W53&gt;YEAR+20,0.25,"")))))</f>
        <v>0.15</v>
      </c>
      <c r="U53" s="365">
        <f>ROUND((O53+S53)*T53,0)</f>
        <v>66135</v>
      </c>
      <c r="V53" s="273">
        <v>0</v>
      </c>
      <c r="W53" s="261">
        <v>2029</v>
      </c>
      <c r="X53" s="367">
        <f>(1+PPI)^(W53-YEAR)</f>
        <v>1.1552634751694639</v>
      </c>
      <c r="Y53" s="146">
        <f>ROUND(U53+S53+O53,0)</f>
        <v>507032</v>
      </c>
      <c r="Z53" s="235">
        <f>IFERROR(IF(tblFuturePathway[[#This Row],[Year of Provision]]&gt;2024,VLOOKUP(tblFuturePathway[[#This Row],[Service Catchment]],'Catchment Demand - Pathway'!C$8:M$8,11,FALSE),""),"")</f>
        <v>0.33960071153808458</v>
      </c>
      <c r="AA53" s="234" cm="1">
        <f t="array" ref="AA5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1.6084772183991441E-3</v>
      </c>
      <c r="AB53" s="368">
        <f>IF(AND(tblFuturePathway[[#This Row],[Spare Capacity (%)]]&gt;30%,tblFuturePathway[[#This Row],[Share of the total Cost with the same year of provision %]]&gt;20%),(1-tblFuturePathway[[#This Row],[Spare Capacity (%)]]),1)</f>
        <v>1</v>
      </c>
      <c r="AC53" s="368">
        <f>IF(tblFuturePathway[[#This Row],[Terminal Value Analysis]]&lt;0,0,tblFuturePathway[[#This Row],[Terminal Value Analysis]])</f>
        <v>1</v>
      </c>
      <c r="AD53" s="75">
        <f>ROUND(Y53+M53-tblFuturePathway[[#This Row],[Grants and Subsidies ($)]],0)</f>
        <v>529215</v>
      </c>
      <c r="AE53" s="211">
        <f>IFERROR(ROUND((Y53*X53+(M53*((1+Landind)^(W53-YEAR)))),0),0)</f>
        <v>611769</v>
      </c>
      <c r="AF53" s="369">
        <f>ROUND((AE53*(1/(1+WACC))^(W53-YEAR)),0)</f>
        <v>386449</v>
      </c>
      <c r="AG53" s="75">
        <f>tblFuturePathway[[#This Row],[Net Present Value of Establishment Cost]]*tblFuturePathway[[#This Row],[Terminal Value Adjustment (%)]]</f>
        <v>386449</v>
      </c>
      <c r="AH53" s="370">
        <f>AF53</f>
        <v>386449</v>
      </c>
      <c r="AI53" s="371">
        <f>tblFuturePathway[[#This Row],[Net Present Value of Establishment Cost]]*tblFuturePathway[[#This Row],[Terminal Value Adjustment (%)]]</f>
        <v>386449</v>
      </c>
    </row>
    <row r="54" spans="1:35">
      <c r="A54" s="191"/>
      <c r="B54" s="112" t="s">
        <v>2168</v>
      </c>
      <c r="C54" s="114" t="s">
        <v>2131</v>
      </c>
      <c r="D54" s="111" t="s">
        <v>2224</v>
      </c>
      <c r="E54" s="111" t="s">
        <v>113</v>
      </c>
      <c r="F54" s="111" t="s">
        <v>2204</v>
      </c>
      <c r="G54" s="113"/>
      <c r="H54" s="275">
        <v>480</v>
      </c>
      <c r="I54" s="276" t="s">
        <v>2224</v>
      </c>
      <c r="J54" s="112"/>
      <c r="K54" s="206">
        <v>2047</v>
      </c>
      <c r="L54" s="373">
        <f>IF(tblFuturePathway[[#This Row],[Size of Land (m2)]]=0,0,tblFuturePathway[[#This Row],[Land Value]]/tblFuturePathway[[#This Row],[Size of Land (m2)]])</f>
        <v>1.5828041035661944</v>
      </c>
      <c r="M54" s="195">
        <v>3240</v>
      </c>
      <c r="N54" s="195">
        <f>tblFuturePathway[[#This Row],[Direct Construction Cost]]/tblFuturePathway[[#This Row],[Length (m)]]</f>
        <v>736.04375000000005</v>
      </c>
      <c r="O54" s="72">
        <v>353301</v>
      </c>
      <c r="P54" s="111">
        <v>2021</v>
      </c>
      <c r="Q54" s="76">
        <v>0.01</v>
      </c>
      <c r="R54" s="206"/>
      <c r="S54" s="365">
        <f t="shared" si="8"/>
        <v>81259</v>
      </c>
      <c r="T54" s="366">
        <f t="shared" si="9"/>
        <v>0.15</v>
      </c>
      <c r="U54" s="365">
        <f t="shared" si="10"/>
        <v>65184</v>
      </c>
      <c r="V54" s="273">
        <v>0</v>
      </c>
      <c r="W54" s="261">
        <v>2029</v>
      </c>
      <c r="X54" s="367">
        <f t="shared" si="11"/>
        <v>1.1552634751694639</v>
      </c>
      <c r="Y54" s="146">
        <f t="shared" si="12"/>
        <v>499744</v>
      </c>
      <c r="Z54" s="235">
        <f>IFERROR(IF(tblFuturePathway[[#This Row],[Year of Provision]]&gt;2024,VLOOKUP(tblFuturePathway[[#This Row],[Service Catchment]],'Catchment Demand - Pathway'!C$8:M$8,11,FALSE),""),"")</f>
        <v>0.33960071153808458</v>
      </c>
      <c r="AA54" s="234" cm="1">
        <f t="array" ref="AA5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1.5279303645310781E-3</v>
      </c>
      <c r="AB54" s="368">
        <f>IF(AND(tblFuturePathway[[#This Row],[Spare Capacity (%)]]&gt;30%,tblFuturePathway[[#This Row],[Share of the total Cost with the same year of provision %]]&gt;20%),(1-tblFuturePathway[[#This Row],[Spare Capacity (%)]]),1)</f>
        <v>1</v>
      </c>
      <c r="AC54" s="368">
        <f>IF(tblFuturePathway[[#This Row],[Terminal Value Analysis]]&lt;0,0,tblFuturePathway[[#This Row],[Terminal Value Analysis]])</f>
        <v>1</v>
      </c>
      <c r="AD54" s="75">
        <f>ROUND(Y54+M54-tblFuturePathway[[#This Row],[Grants and Subsidies ($)]],0)</f>
        <v>502984</v>
      </c>
      <c r="AE54" s="211">
        <f t="shared" si="13"/>
        <v>581135</v>
      </c>
      <c r="AF54" s="369">
        <f t="shared" si="14"/>
        <v>367097</v>
      </c>
      <c r="AG54" s="75">
        <f>tblFuturePathway[[#This Row],[Net Present Value of Establishment Cost]]*tblFuturePathway[[#This Row],[Terminal Value Adjustment (%)]]</f>
        <v>367097</v>
      </c>
      <c r="AH54" s="370">
        <f t="shared" si="15"/>
        <v>367097</v>
      </c>
      <c r="AI54" s="371">
        <f>tblFuturePathway[[#This Row],[Net Present Value of Establishment Cost]]*tblFuturePathway[[#This Row],[Terminal Value Adjustment (%)]]</f>
        <v>367097</v>
      </c>
    </row>
    <row r="55" spans="1:35">
      <c r="A55" s="191"/>
      <c r="B55" s="112" t="s">
        <v>2168</v>
      </c>
      <c r="C55" s="114" t="s">
        <v>2132</v>
      </c>
      <c r="D55" s="111" t="s">
        <v>2224</v>
      </c>
      <c r="E55" s="111" t="s">
        <v>113</v>
      </c>
      <c r="F55" s="111" t="s">
        <v>2205</v>
      </c>
      <c r="G55" s="113"/>
      <c r="H55" s="275">
        <v>89</v>
      </c>
      <c r="I55" s="276" t="s">
        <v>2224</v>
      </c>
      <c r="J55" s="112"/>
      <c r="K55" s="206">
        <v>539</v>
      </c>
      <c r="L55" s="373">
        <f>IF(tblFuturePathway[[#This Row],[Size of Land (m2)]]=0,0,tblFuturePathway[[#This Row],[Land Value]]/tblFuturePathway[[#This Row],[Size of Land (m2)]])</f>
        <v>14.330241187384045</v>
      </c>
      <c r="M55" s="195">
        <v>7724</v>
      </c>
      <c r="N55" s="195">
        <f>tblFuturePathway[[#This Row],[Direct Construction Cost]]/tblFuturePathway[[#This Row],[Length (m)]]</f>
        <v>994.65168539325839</v>
      </c>
      <c r="O55" s="72">
        <v>88524</v>
      </c>
      <c r="P55" s="111">
        <v>2021</v>
      </c>
      <c r="Q55" s="76">
        <v>0.01</v>
      </c>
      <c r="R55" s="206"/>
      <c r="S55" s="365">
        <f t="shared" si="8"/>
        <v>20361</v>
      </c>
      <c r="T55" s="366">
        <f t="shared" si="9"/>
        <v>0.15</v>
      </c>
      <c r="U55" s="365">
        <f t="shared" si="10"/>
        <v>16333</v>
      </c>
      <c r="V55" s="273">
        <v>0</v>
      </c>
      <c r="W55" s="261">
        <v>2029</v>
      </c>
      <c r="X55" s="367">
        <f t="shared" si="11"/>
        <v>1.1552634751694639</v>
      </c>
      <c r="Y55" s="146">
        <f t="shared" si="12"/>
        <v>125218</v>
      </c>
      <c r="Z55" s="235">
        <f>IFERROR(IF(tblFuturePathway[[#This Row],[Year of Provision]]&gt;2024,VLOOKUP(tblFuturePathway[[#This Row],[Service Catchment]],'Catchment Demand - Pathway'!C$8:M$8,11,FALSE),""),"")</f>
        <v>0.33960071153808458</v>
      </c>
      <c r="AA55" s="234" cm="1">
        <f t="array" ref="AA5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4.0415774102402566E-4</v>
      </c>
      <c r="AB55" s="368">
        <f>IF(AND(tblFuturePathway[[#This Row],[Spare Capacity (%)]]&gt;30%,tblFuturePathway[[#This Row],[Share of the total Cost with the same year of provision %]]&gt;20%),(1-tblFuturePathway[[#This Row],[Spare Capacity (%)]]),1)</f>
        <v>1</v>
      </c>
      <c r="AC55" s="368">
        <f>IF(tblFuturePathway[[#This Row],[Terminal Value Analysis]]&lt;0,0,tblFuturePathway[[#This Row],[Terminal Value Analysis]])</f>
        <v>1</v>
      </c>
      <c r="AD55" s="75">
        <f>ROUND(Y55+M55-tblFuturePathway[[#This Row],[Grants and Subsidies ($)]],0)</f>
        <v>132942</v>
      </c>
      <c r="AE55" s="211">
        <f t="shared" si="13"/>
        <v>153718</v>
      </c>
      <c r="AF55" s="369">
        <f t="shared" si="14"/>
        <v>97102</v>
      </c>
      <c r="AG55" s="75">
        <f>tblFuturePathway[[#This Row],[Net Present Value of Establishment Cost]]*tblFuturePathway[[#This Row],[Terminal Value Adjustment (%)]]</f>
        <v>97102</v>
      </c>
      <c r="AH55" s="370">
        <f t="shared" si="15"/>
        <v>97102</v>
      </c>
      <c r="AI55" s="371">
        <f>tblFuturePathway[[#This Row],[Net Present Value of Establishment Cost]]*tblFuturePathway[[#This Row],[Terminal Value Adjustment (%)]]</f>
        <v>97102</v>
      </c>
    </row>
    <row r="56" spans="1:35">
      <c r="A56" s="191"/>
      <c r="B56" s="112" t="s">
        <v>2169</v>
      </c>
      <c r="C56" s="114" t="s">
        <v>2399</v>
      </c>
      <c r="D56" s="111" t="s">
        <v>2226</v>
      </c>
      <c r="E56" s="111" t="s">
        <v>113</v>
      </c>
      <c r="F56" s="111" t="s">
        <v>2346</v>
      </c>
      <c r="G56" s="113"/>
      <c r="H56" s="275">
        <v>1672</v>
      </c>
      <c r="I56" s="276" t="s">
        <v>2226</v>
      </c>
      <c r="J56" s="112"/>
      <c r="K56" s="206">
        <v>16720</v>
      </c>
      <c r="L56" s="373">
        <f>IF(tblFuturePathway[[#This Row],[Size of Land (m2)]]=0,0,tblFuturePathway[[#This Row],[Land Value]]/tblFuturePathway[[#This Row],[Size of Land (m2)]])</f>
        <v>446</v>
      </c>
      <c r="M56" s="195">
        <v>7457120</v>
      </c>
      <c r="N56" s="195">
        <f>tblFuturePathway[[#This Row],[Direct Construction Cost]]/tblFuturePathway[[#This Row],[Length (m)]]</f>
        <v>9003</v>
      </c>
      <c r="O56" s="72">
        <v>15053016</v>
      </c>
      <c r="P56" s="111">
        <v>2021</v>
      </c>
      <c r="Q56" s="76">
        <v>0.01</v>
      </c>
      <c r="R56" s="206"/>
      <c r="S56" s="365">
        <f t="shared" si="8"/>
        <v>3462194</v>
      </c>
      <c r="T56" s="366">
        <f t="shared" si="9"/>
        <v>0.15</v>
      </c>
      <c r="U56" s="365">
        <f t="shared" si="10"/>
        <v>2777282</v>
      </c>
      <c r="V56" s="273">
        <v>0</v>
      </c>
      <c r="W56" s="261">
        <v>2029</v>
      </c>
      <c r="X56" s="367">
        <f t="shared" si="11"/>
        <v>1.1552634751694639</v>
      </c>
      <c r="Y56" s="146">
        <f t="shared" si="12"/>
        <v>21292492</v>
      </c>
      <c r="Z56" s="235">
        <f>IFERROR(IF(tblFuturePathway[[#This Row],[Year of Provision]]&gt;2024,VLOOKUP(tblFuturePathway[[#This Row],[Service Catchment]],'Catchment Demand - Pathway'!C$8:M$8,11,FALSE),""),"")</f>
        <v>0.33960071153808458</v>
      </c>
      <c r="AA56" s="234" cm="1">
        <f t="array" ref="AA5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8.7666909390787126E-2</v>
      </c>
      <c r="AB56" s="368">
        <f>IF(AND(tblFuturePathway[[#This Row],[Spare Capacity (%)]]&gt;30%,tblFuturePathway[[#This Row],[Share of the total Cost with the same year of provision %]]&gt;20%),(1-tblFuturePathway[[#This Row],[Spare Capacity (%)]]),1)</f>
        <v>1</v>
      </c>
      <c r="AC56" s="368">
        <f>IF(tblFuturePathway[[#This Row],[Terminal Value Analysis]]&lt;0,0,tblFuturePathway[[#This Row],[Terminal Value Analysis]])</f>
        <v>1</v>
      </c>
      <c r="AD56" s="75">
        <f>ROUND(Y56+M56-tblFuturePathway[[#This Row],[Grants and Subsidies ($)]],0)</f>
        <v>28749612</v>
      </c>
      <c r="AE56" s="211">
        <f t="shared" si="13"/>
        <v>33343311</v>
      </c>
      <c r="AF56" s="369">
        <f t="shared" si="14"/>
        <v>21062648</v>
      </c>
      <c r="AG56" s="75">
        <f>tblFuturePathway[[#This Row],[Net Present Value of Establishment Cost]]*tblFuturePathway[[#This Row],[Terminal Value Adjustment (%)]]</f>
        <v>21062648</v>
      </c>
      <c r="AH56" s="370">
        <f t="shared" si="15"/>
        <v>21062648</v>
      </c>
      <c r="AI56" s="371">
        <f>tblFuturePathway[[#This Row],[Net Present Value of Establishment Cost]]*tblFuturePathway[[#This Row],[Terminal Value Adjustment (%)]]</f>
        <v>21062648</v>
      </c>
    </row>
    <row r="57" spans="1:35">
      <c r="A57" s="191"/>
      <c r="B57" s="112" t="s">
        <v>2169</v>
      </c>
      <c r="C57" s="114" t="s">
        <v>2400</v>
      </c>
      <c r="D57" s="111" t="s">
        <v>2226</v>
      </c>
      <c r="E57" s="111" t="s">
        <v>113</v>
      </c>
      <c r="F57" s="111" t="s">
        <v>2345</v>
      </c>
      <c r="G57" s="113"/>
      <c r="H57" s="275">
        <v>636</v>
      </c>
      <c r="I57" s="276" t="s">
        <v>2226</v>
      </c>
      <c r="J57" s="112"/>
      <c r="K57" s="206">
        <v>6360</v>
      </c>
      <c r="L57" s="373">
        <f>IF(tblFuturePathway[[#This Row],[Size of Land (m2)]]=0,0,tblFuturePathway[[#This Row],[Land Value]]/tblFuturePathway[[#This Row],[Size of Land (m2)]])</f>
        <v>446</v>
      </c>
      <c r="M57" s="195">
        <v>2836560</v>
      </c>
      <c r="N57" s="195">
        <f>tblFuturePathway[[#This Row],[Direct Construction Cost]]/tblFuturePathway[[#This Row],[Length (m)]]</f>
        <v>3003</v>
      </c>
      <c r="O57" s="72">
        <v>1909908</v>
      </c>
      <c r="P57" s="111">
        <v>2021</v>
      </c>
      <c r="Q57" s="76">
        <v>0.01</v>
      </c>
      <c r="R57" s="206"/>
      <c r="S57" s="365">
        <f t="shared" si="8"/>
        <v>439279</v>
      </c>
      <c r="T57" s="366">
        <f t="shared" si="9"/>
        <v>0.15</v>
      </c>
      <c r="U57" s="365">
        <f t="shared" si="10"/>
        <v>352378</v>
      </c>
      <c r="V57" s="273">
        <v>0</v>
      </c>
      <c r="W57" s="261">
        <v>2029</v>
      </c>
      <c r="X57" s="367">
        <f t="shared" si="11"/>
        <v>1.1552634751694639</v>
      </c>
      <c r="Y57" s="146">
        <f t="shared" si="12"/>
        <v>2701565</v>
      </c>
      <c r="Z57" s="235">
        <f>IFERROR(IF(tblFuturePathway[[#This Row],[Year of Provision]]&gt;2024,VLOOKUP(tblFuturePathway[[#This Row],[Service Catchment]],'Catchment Demand - Pathway'!C$8:M$8,11,FALSE),""),"")</f>
        <v>0.33960071153808458</v>
      </c>
      <c r="AA57" s="234" cm="1">
        <f t="array" ref="AA5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1.6951683088153723E-2</v>
      </c>
      <c r="AB57" s="368">
        <f>IF(AND(tblFuturePathway[[#This Row],[Spare Capacity (%)]]&gt;30%,tblFuturePathway[[#This Row],[Share of the total Cost with the same year of provision %]]&gt;20%),(1-tblFuturePathway[[#This Row],[Spare Capacity (%)]]),1)</f>
        <v>1</v>
      </c>
      <c r="AC57" s="368">
        <f>IF(tblFuturePathway[[#This Row],[Terminal Value Analysis]]&lt;0,0,tblFuturePathway[[#This Row],[Terminal Value Analysis]])</f>
        <v>1</v>
      </c>
      <c r="AD57" s="75">
        <f>ROUND(Y57+M57-tblFuturePathway[[#This Row],[Grants and Subsidies ($)]],0)</f>
        <v>5538125</v>
      </c>
      <c r="AE57" s="211">
        <f t="shared" si="13"/>
        <v>6447418</v>
      </c>
      <c r="AF57" s="369">
        <f t="shared" si="14"/>
        <v>4072772</v>
      </c>
      <c r="AG57" s="75">
        <f>tblFuturePathway[[#This Row],[Net Present Value of Establishment Cost]]*tblFuturePathway[[#This Row],[Terminal Value Adjustment (%)]]</f>
        <v>4072772</v>
      </c>
      <c r="AH57" s="370">
        <f t="shared" si="15"/>
        <v>4072772</v>
      </c>
      <c r="AI57" s="371">
        <f>tblFuturePathway[[#This Row],[Net Present Value of Establishment Cost]]*tblFuturePathway[[#This Row],[Terminal Value Adjustment (%)]]</f>
        <v>4072772</v>
      </c>
    </row>
    <row r="58" spans="1:35">
      <c r="A58" s="191"/>
      <c r="B58" s="112" t="s">
        <v>2169</v>
      </c>
      <c r="C58" s="114" t="s">
        <v>2489</v>
      </c>
      <c r="D58" s="111" t="s">
        <v>2224</v>
      </c>
      <c r="E58" s="111" t="s">
        <v>113</v>
      </c>
      <c r="F58" s="111" t="s">
        <v>2491</v>
      </c>
      <c r="G58" s="113"/>
      <c r="H58" s="275">
        <v>70</v>
      </c>
      <c r="I58" s="276" t="s">
        <v>2224</v>
      </c>
      <c r="J58" s="112"/>
      <c r="K58" s="206">
        <v>0</v>
      </c>
      <c r="L58" s="373">
        <f>IF(tblFuturePathway[[#This Row],[Size of Land (m2)]]=0,0,tblFuturePathway[[#This Row],[Land Value]]/tblFuturePathway[[#This Row],[Size of Land (m2)]])</f>
        <v>0</v>
      </c>
      <c r="M58" s="195">
        <v>0</v>
      </c>
      <c r="N58" s="195">
        <f>tblFuturePathway[[#This Row],[Direct Construction Cost]]/tblFuturePathway[[#This Row],[Length (m)]]</f>
        <v>12812</v>
      </c>
      <c r="O58" s="72">
        <v>896840</v>
      </c>
      <c r="P58" s="111">
        <v>2021</v>
      </c>
      <c r="Q58" s="76">
        <v>0.01</v>
      </c>
      <c r="R58" s="206"/>
      <c r="S58" s="365">
        <f t="shared" ref="S58" si="16">ROUND((O58)*23%,0)</f>
        <v>206273</v>
      </c>
      <c r="T58" s="366">
        <f t="shared" ref="T58" si="17">IF(W58="","",IF(W58&lt;=YEAR+5,0.075,IF(AND(W58&gt;YEAR+5,W58&lt;=YEAR+10),0.15,IF(AND(W58&gt;YEAR+10,W58&lt;=YEAR+20),0.2,IF(W58&gt;YEAR+20,0.25,"")))))</f>
        <v>0.15</v>
      </c>
      <c r="U58" s="365">
        <f t="shared" ref="U58" si="18">ROUND((O58+S58)*T58,0)</f>
        <v>165467</v>
      </c>
      <c r="V58" s="273">
        <v>0</v>
      </c>
      <c r="W58" s="261">
        <v>2029</v>
      </c>
      <c r="X58" s="367">
        <f t="shared" ref="X58" si="19">(1+PPI)^(W58-YEAR)</f>
        <v>1.1552634751694639</v>
      </c>
      <c r="Y58" s="146">
        <f t="shared" ref="Y58" si="20">ROUND(U58+S58+O58,0)</f>
        <v>1268580</v>
      </c>
      <c r="Z58" s="235">
        <f>IFERROR(IF(tblFuturePathway[[#This Row],[Year of Provision]]&gt;2024,VLOOKUP(tblFuturePathway[[#This Row],[Service Catchment]],'Catchment Demand - Pathway'!C$8:M$8,11,FALSE),""),"")</f>
        <v>0.33960071153808458</v>
      </c>
      <c r="AA58" s="234" cm="1">
        <f t="array" ref="AA5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3.8532379550144406E-3</v>
      </c>
      <c r="AB58" s="368">
        <f>IF(AND(tblFuturePathway[[#This Row],[Spare Capacity (%)]]&gt;30%,tblFuturePathway[[#This Row],[Share of the total Cost with the same year of provision %]]&gt;20%),(1-tblFuturePathway[[#This Row],[Spare Capacity (%)]]),1)</f>
        <v>1</v>
      </c>
      <c r="AC58" s="368">
        <f>IF(tblFuturePathway[[#This Row],[Terminal Value Analysis]]&lt;0,0,tblFuturePathway[[#This Row],[Terminal Value Analysis]])</f>
        <v>1</v>
      </c>
      <c r="AD58" s="75">
        <f>ROUND(Y58+M58-tblFuturePathway[[#This Row],[Grants and Subsidies ($)]],0)</f>
        <v>1268580</v>
      </c>
      <c r="AE58" s="211">
        <f t="shared" ref="AE58" si="21">IFERROR(ROUND((Y58*X58+(M58*((1+Landind)^(W58-YEAR)))),0),0)</f>
        <v>1465544</v>
      </c>
      <c r="AF58" s="369">
        <f t="shared" ref="AF58" si="22">ROUND((AE58*(1/(1+WACC))^(W58-YEAR)),0)</f>
        <v>925770</v>
      </c>
      <c r="AG58" s="75">
        <f>tblFuturePathway[[#This Row],[Net Present Value of Establishment Cost]]*tblFuturePathway[[#This Row],[Terminal Value Adjustment (%)]]</f>
        <v>925770</v>
      </c>
      <c r="AH58" s="370">
        <f t="shared" ref="AH58" si="23">AF58</f>
        <v>925770</v>
      </c>
      <c r="AI58" s="371">
        <f>tblFuturePathway[[#This Row],[Net Present Value of Establishment Cost]]*tblFuturePathway[[#This Row],[Terminal Value Adjustment (%)]]</f>
        <v>925770</v>
      </c>
    </row>
    <row r="59" spans="1:35">
      <c r="A59" s="191"/>
      <c r="B59" s="112" t="s">
        <v>2169</v>
      </c>
      <c r="C59" s="114" t="s">
        <v>2133</v>
      </c>
      <c r="D59" s="111" t="s">
        <v>2224</v>
      </c>
      <c r="E59" s="111" t="s">
        <v>113</v>
      </c>
      <c r="F59" s="111" t="s">
        <v>2206</v>
      </c>
      <c r="G59" s="113"/>
      <c r="H59" s="275">
        <v>322</v>
      </c>
      <c r="I59" s="276" t="s">
        <v>2224</v>
      </c>
      <c r="J59" s="112"/>
      <c r="K59" s="206">
        <v>1924</v>
      </c>
      <c r="L59" s="373">
        <f>IF(tblFuturePathway[[#This Row],[Size of Land (m2)]]=0,0,tblFuturePathway[[#This Row],[Land Value]]/tblFuturePathway[[#This Row],[Size of Land (m2)]])</f>
        <v>9.9833679833679838</v>
      </c>
      <c r="M59" s="195">
        <v>19208</v>
      </c>
      <c r="N59" s="195">
        <f>tblFuturePathway[[#This Row],[Direct Construction Cost]]/tblFuturePathway[[#This Row],[Length (m)]]</f>
        <v>736.04347826086962</v>
      </c>
      <c r="O59" s="72">
        <v>237006</v>
      </c>
      <c r="P59" s="111">
        <v>2021</v>
      </c>
      <c r="Q59" s="76">
        <v>0.01</v>
      </c>
      <c r="R59" s="206"/>
      <c r="S59" s="365">
        <f t="shared" si="8"/>
        <v>54511</v>
      </c>
      <c r="T59" s="366">
        <f t="shared" si="9"/>
        <v>0.15</v>
      </c>
      <c r="U59" s="365">
        <f t="shared" si="10"/>
        <v>43728</v>
      </c>
      <c r="V59" s="273">
        <v>0</v>
      </c>
      <c r="W59" s="261">
        <v>2029</v>
      </c>
      <c r="X59" s="367">
        <f t="shared" si="11"/>
        <v>1.1552634751694639</v>
      </c>
      <c r="Y59" s="146">
        <f t="shared" si="12"/>
        <v>335245</v>
      </c>
      <c r="Z59" s="235">
        <f>IFERROR(IF(tblFuturePathway[[#This Row],[Year of Provision]]&gt;2024,VLOOKUP(tblFuturePathway[[#This Row],[Service Catchment]],'Catchment Demand - Pathway'!C$8:M$8,11,FALSE),""),"")</f>
        <v>0.33960071153808458</v>
      </c>
      <c r="AA59" s="234" cm="1">
        <f t="array" ref="AA5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1.0775097937869432E-3</v>
      </c>
      <c r="AB59" s="368">
        <f>IF(AND(tblFuturePathway[[#This Row],[Spare Capacity (%)]]&gt;30%,tblFuturePathway[[#This Row],[Share of the total Cost with the same year of provision %]]&gt;20%),(1-tblFuturePathway[[#This Row],[Spare Capacity (%)]]),1)</f>
        <v>1</v>
      </c>
      <c r="AC59" s="368">
        <f>IF(tblFuturePathway[[#This Row],[Terminal Value Analysis]]&lt;0,0,tblFuturePathway[[#This Row],[Terminal Value Analysis]])</f>
        <v>1</v>
      </c>
      <c r="AD59" s="75">
        <f>ROUND(Y59+M59-tblFuturePathway[[#This Row],[Grants and Subsidies ($)]],0)</f>
        <v>354453</v>
      </c>
      <c r="AE59" s="211">
        <f t="shared" si="13"/>
        <v>409821</v>
      </c>
      <c r="AF59" s="369">
        <f t="shared" si="14"/>
        <v>258880</v>
      </c>
      <c r="AG59" s="75">
        <f>tblFuturePathway[[#This Row],[Net Present Value of Establishment Cost]]*tblFuturePathway[[#This Row],[Terminal Value Adjustment (%)]]</f>
        <v>258880</v>
      </c>
      <c r="AH59" s="370">
        <f t="shared" si="15"/>
        <v>258880</v>
      </c>
      <c r="AI59" s="371">
        <f>tblFuturePathway[[#This Row],[Net Present Value of Establishment Cost]]*tblFuturePathway[[#This Row],[Terminal Value Adjustment (%)]]</f>
        <v>258880</v>
      </c>
    </row>
    <row r="60" spans="1:35">
      <c r="A60" s="191"/>
      <c r="B60" s="112" t="s">
        <v>2347</v>
      </c>
      <c r="C60" s="114" t="s">
        <v>2401</v>
      </c>
      <c r="D60" s="111" t="s">
        <v>2224</v>
      </c>
      <c r="E60" s="111" t="s">
        <v>113</v>
      </c>
      <c r="F60" s="111" t="s">
        <v>2348</v>
      </c>
      <c r="G60" s="113"/>
      <c r="H60" s="275">
        <v>412</v>
      </c>
      <c r="I60" s="276" t="s">
        <v>2224</v>
      </c>
      <c r="J60" s="112"/>
      <c r="K60" s="206">
        <v>3287</v>
      </c>
      <c r="L60" s="373">
        <f>IF(tblFuturePathway[[#This Row],[Size of Land (m2)]]=0,0,tblFuturePathway[[#This Row],[Land Value]]/tblFuturePathway[[#This Row],[Size of Land (m2)]])</f>
        <v>153.32613325220566</v>
      </c>
      <c r="M60" s="195">
        <v>503983</v>
      </c>
      <c r="N60" s="195">
        <f>tblFuturePathway[[#This Row],[Direct Construction Cost]]/tblFuturePathway[[#This Row],[Length (m)]]</f>
        <v>736.04368932038835</v>
      </c>
      <c r="O60" s="72">
        <v>303250</v>
      </c>
      <c r="P60" s="111">
        <v>2021</v>
      </c>
      <c r="Q60" s="76">
        <v>0.01</v>
      </c>
      <c r="R60" s="206"/>
      <c r="S60" s="365">
        <f t="shared" si="8"/>
        <v>69748</v>
      </c>
      <c r="T60" s="366">
        <f t="shared" si="9"/>
        <v>0.2</v>
      </c>
      <c r="U60" s="365">
        <f t="shared" si="10"/>
        <v>74600</v>
      </c>
      <c r="V60" s="273">
        <v>0</v>
      </c>
      <c r="W60" s="261">
        <v>2034</v>
      </c>
      <c r="X60" s="367">
        <f t="shared" si="11"/>
        <v>1.2643190879401258</v>
      </c>
      <c r="Y60" s="146">
        <f t="shared" si="12"/>
        <v>447598</v>
      </c>
      <c r="Z60" s="235">
        <f>IFERROR(IF(tblFuturePathway[[#This Row],[Year of Provision]]&gt;2024,VLOOKUP(tblFuturePathway[[#This Row],[Service Catchment]],'Catchment Demand - Pathway'!C$8:M$8,11,FALSE),""),"")</f>
        <v>0.33960071153808458</v>
      </c>
      <c r="AA60" s="234" cm="1">
        <f t="array" ref="AA6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0.21580064953619232</v>
      </c>
      <c r="AB60" s="368">
        <f>IF(AND(tblFuturePathway[[#This Row],[Spare Capacity (%)]]&gt;30%,tblFuturePathway[[#This Row],[Share of the total Cost with the same year of provision %]]&gt;20%),(1-tblFuturePathway[[#This Row],[Spare Capacity (%)]]),1)</f>
        <v>0.66039928846191542</v>
      </c>
      <c r="AC60" s="368">
        <f>IF(tblFuturePathway[[#This Row],[Terminal Value Analysis]]&lt;0,0,tblFuturePathway[[#This Row],[Terminal Value Analysis]])</f>
        <v>0.66039928846191542</v>
      </c>
      <c r="AD60" s="75">
        <f>ROUND(Y60+M60-tblFuturePathway[[#This Row],[Grants and Subsidies ($)]],0)</f>
        <v>951581</v>
      </c>
      <c r="AE60" s="211">
        <f t="shared" si="13"/>
        <v>1218792</v>
      </c>
      <c r="AF60" s="369">
        <f t="shared" si="14"/>
        <v>577762</v>
      </c>
      <c r="AG60" s="75">
        <f>tblFuturePathway[[#This Row],[Net Present Value of Establishment Cost]]*tblFuturePathway[[#This Row],[Terminal Value Adjustment (%)]]</f>
        <v>381553.61370033317</v>
      </c>
      <c r="AH60" s="370">
        <f t="shared" si="15"/>
        <v>577762</v>
      </c>
      <c r="AI60" s="371">
        <f>tblFuturePathway[[#This Row],[Net Present Value of Establishment Cost]]*tblFuturePathway[[#This Row],[Terminal Value Adjustment (%)]]</f>
        <v>381553.61370033317</v>
      </c>
    </row>
    <row r="61" spans="1:35">
      <c r="A61" s="191"/>
      <c r="B61" s="112" t="s">
        <v>2170</v>
      </c>
      <c r="C61" s="114" t="s">
        <v>2402</v>
      </c>
      <c r="D61" s="111" t="s">
        <v>2224</v>
      </c>
      <c r="E61" s="111" t="s">
        <v>113</v>
      </c>
      <c r="F61" s="111" t="s">
        <v>2349</v>
      </c>
      <c r="G61" s="113"/>
      <c r="H61" s="275">
        <v>499</v>
      </c>
      <c r="I61" s="276" t="s">
        <v>2224</v>
      </c>
      <c r="J61" s="112"/>
      <c r="K61" s="206">
        <v>3392</v>
      </c>
      <c r="L61" s="373">
        <f>IF(tblFuturePathway[[#This Row],[Size of Land (m2)]]=0,0,tblFuturePathway[[#This Row],[Land Value]]/tblFuturePathway[[#This Row],[Size of Land (m2)]])</f>
        <v>938.06574292452831</v>
      </c>
      <c r="M61" s="195">
        <v>3181919</v>
      </c>
      <c r="N61" s="195">
        <f>tblFuturePathway[[#This Row],[Direct Construction Cost]]/tblFuturePathway[[#This Row],[Length (m)]]</f>
        <v>736.04408817635272</v>
      </c>
      <c r="O61" s="72">
        <v>367286</v>
      </c>
      <c r="P61" s="111">
        <v>2021</v>
      </c>
      <c r="Q61" s="76">
        <v>0.01</v>
      </c>
      <c r="R61" s="206"/>
      <c r="S61" s="365">
        <f t="shared" si="8"/>
        <v>84476</v>
      </c>
      <c r="T61" s="366">
        <f t="shared" si="9"/>
        <v>0.15</v>
      </c>
      <c r="U61" s="365">
        <f t="shared" si="10"/>
        <v>67764</v>
      </c>
      <c r="V61" s="273">
        <v>0</v>
      </c>
      <c r="W61" s="261">
        <v>2029</v>
      </c>
      <c r="X61" s="367">
        <f t="shared" si="11"/>
        <v>1.1552634751694639</v>
      </c>
      <c r="Y61" s="146">
        <f t="shared" si="12"/>
        <v>519526</v>
      </c>
      <c r="Z61" s="235">
        <f>IFERROR(IF(tblFuturePathway[[#This Row],[Year of Provision]]&gt;2024,VLOOKUP(tblFuturePathway[[#This Row],[Service Catchment]],'Catchment Demand - Pathway'!C$8:M$8,11,FALSE),""),"")</f>
        <v>0.33960071153808458</v>
      </c>
      <c r="AA61" s="234" cm="1">
        <f t="array" ref="AA6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1.1388697477500376E-2</v>
      </c>
      <c r="AB61" s="368">
        <f>IF(AND(tblFuturePathway[[#This Row],[Spare Capacity (%)]]&gt;30%,tblFuturePathway[[#This Row],[Share of the total Cost with the same year of provision %]]&gt;20%),(1-tblFuturePathway[[#This Row],[Spare Capacity (%)]]),1)</f>
        <v>1</v>
      </c>
      <c r="AC61" s="368">
        <f>IF(tblFuturePathway[[#This Row],[Terminal Value Analysis]]&lt;0,0,tblFuturePathway[[#This Row],[Terminal Value Analysis]])</f>
        <v>1</v>
      </c>
      <c r="AD61" s="75">
        <f>ROUND(Y61+M61-tblFuturePathway[[#This Row],[Grants and Subsidies ($)]],0)</f>
        <v>3701445</v>
      </c>
      <c r="AE61" s="211">
        <f t="shared" si="13"/>
        <v>4331587</v>
      </c>
      <c r="AF61" s="369">
        <f t="shared" si="14"/>
        <v>2736222</v>
      </c>
      <c r="AG61" s="75">
        <f>tblFuturePathway[[#This Row],[Net Present Value of Establishment Cost]]*tblFuturePathway[[#This Row],[Terminal Value Adjustment (%)]]</f>
        <v>2736222</v>
      </c>
      <c r="AH61" s="370">
        <f t="shared" si="15"/>
        <v>2736222</v>
      </c>
      <c r="AI61" s="371">
        <f>tblFuturePathway[[#This Row],[Net Present Value of Establishment Cost]]*tblFuturePathway[[#This Row],[Terminal Value Adjustment (%)]]</f>
        <v>2736222</v>
      </c>
    </row>
    <row r="62" spans="1:35">
      <c r="A62" s="191"/>
      <c r="B62" s="112" t="s">
        <v>2151</v>
      </c>
      <c r="C62" s="114" t="s">
        <v>2309</v>
      </c>
      <c r="D62" s="111" t="s">
        <v>2365</v>
      </c>
      <c r="E62" s="111" t="s">
        <v>113</v>
      </c>
      <c r="F62" s="111" t="s">
        <v>2318</v>
      </c>
      <c r="G62" s="113"/>
      <c r="H62" s="275">
        <v>123</v>
      </c>
      <c r="I62" s="276" t="s">
        <v>2365</v>
      </c>
      <c r="J62" s="112"/>
      <c r="K62" s="206">
        <v>0</v>
      </c>
      <c r="L62" s="373">
        <f>IF(tblFuturePathway[[#This Row],[Size of Land (m2)]]=0,0,tblFuturePathway[[#This Row],[Land Value]]/tblFuturePathway[[#This Row],[Size of Land (m2)]])</f>
        <v>0</v>
      </c>
      <c r="M62" s="195">
        <v>0</v>
      </c>
      <c r="N62" s="195">
        <f>tblFuturePathway[[#This Row],[Direct Construction Cost]]/tblFuturePathway[[#This Row],[Length (m)]]</f>
        <v>144819.49593495936</v>
      </c>
      <c r="O62" s="72">
        <v>17812798</v>
      </c>
      <c r="P62" s="111">
        <v>2021</v>
      </c>
      <c r="Q62" s="76">
        <v>0.01</v>
      </c>
      <c r="R62" s="206"/>
      <c r="S62" s="365">
        <f t="shared" si="8"/>
        <v>4096944</v>
      </c>
      <c r="T62" s="366">
        <f t="shared" si="9"/>
        <v>7.4999999999999997E-2</v>
      </c>
      <c r="U62" s="365">
        <f t="shared" si="10"/>
        <v>1643231</v>
      </c>
      <c r="V62" s="273">
        <v>0</v>
      </c>
      <c r="W62" s="261">
        <v>2024</v>
      </c>
      <c r="X62" s="367">
        <f t="shared" si="11"/>
        <v>1.0556146069383956</v>
      </c>
      <c r="Y62" s="146">
        <f t="shared" si="12"/>
        <v>23552973</v>
      </c>
      <c r="Z62" s="235" t="str">
        <f>IFERROR(IF(tblFuturePathway[[#This Row],[Year of Provision]]&gt;2024,VLOOKUP(tblFuturePathway[[#This Row],[Service Catchment]],'Catchment Demand - Pathway'!C$8:M$8,11,FALSE),""),"")</f>
        <v/>
      </c>
      <c r="AA62" s="234" cm="1">
        <f t="array" ref="AA6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62" s="368">
        <f>IF(AND(tblFuturePathway[[#This Row],[Spare Capacity (%)]]&gt;30%,tblFuturePathway[[#This Row],[Share of the total Cost with the same year of provision %]]&gt;20%),(1-tblFuturePathway[[#This Row],[Spare Capacity (%)]]),1)</f>
        <v>1</v>
      </c>
      <c r="AC62" s="368">
        <f>IF(tblFuturePathway[[#This Row],[Terminal Value Analysis]]&lt;0,0,tblFuturePathway[[#This Row],[Terminal Value Analysis]])</f>
        <v>1</v>
      </c>
      <c r="AD62" s="75">
        <f>ROUND(Y62+M62-tblFuturePathway[[#This Row],[Grants and Subsidies ($)]],0)</f>
        <v>23552973</v>
      </c>
      <c r="AE62" s="211">
        <f t="shared" si="13"/>
        <v>24862862</v>
      </c>
      <c r="AF62" s="369">
        <f t="shared" si="14"/>
        <v>20928602</v>
      </c>
      <c r="AG62" s="75">
        <f>tblFuturePathway[[#This Row],[Net Present Value of Establishment Cost]]*tblFuturePathway[[#This Row],[Terminal Value Adjustment (%)]]</f>
        <v>20928602</v>
      </c>
      <c r="AH62" s="370">
        <f t="shared" si="15"/>
        <v>20928602</v>
      </c>
      <c r="AI62" s="371">
        <f>tblFuturePathway[[#This Row],[Net Present Value of Establishment Cost]]*tblFuturePathway[[#This Row],[Terminal Value Adjustment (%)]]</f>
        <v>20928602</v>
      </c>
    </row>
    <row r="63" spans="1:35">
      <c r="A63" s="191"/>
      <c r="B63" s="112" t="s">
        <v>2157</v>
      </c>
      <c r="C63" s="114" t="s">
        <v>2134</v>
      </c>
      <c r="D63" s="111" t="s">
        <v>2224</v>
      </c>
      <c r="E63" s="111" t="s">
        <v>113</v>
      </c>
      <c r="F63" s="111" t="s">
        <v>2207</v>
      </c>
      <c r="G63" s="113"/>
      <c r="H63" s="275">
        <v>689</v>
      </c>
      <c r="I63" s="276" t="s">
        <v>2224</v>
      </c>
      <c r="J63" s="112"/>
      <c r="K63" s="206">
        <v>5295</v>
      </c>
      <c r="L63" s="373">
        <f>IF(tblFuturePathway[[#This Row],[Size of Land (m2)]]=0,0,tblFuturePathway[[#This Row],[Land Value]]/tblFuturePathway[[#This Row],[Size of Land (m2)]])</f>
        <v>2.833805476864967</v>
      </c>
      <c r="M63" s="195">
        <v>15005</v>
      </c>
      <c r="N63" s="195">
        <f>tblFuturePathway[[#This Row],[Direct Construction Cost]]/tblFuturePathway[[#This Row],[Length (m)]]</f>
        <v>736.04354136429606</v>
      </c>
      <c r="O63" s="72">
        <v>507134</v>
      </c>
      <c r="P63" s="111">
        <v>2021</v>
      </c>
      <c r="Q63" s="76">
        <v>0.01</v>
      </c>
      <c r="R63" s="206"/>
      <c r="S63" s="365">
        <f t="shared" si="8"/>
        <v>116641</v>
      </c>
      <c r="T63" s="366">
        <f t="shared" si="9"/>
        <v>0.15</v>
      </c>
      <c r="U63" s="365">
        <f t="shared" si="10"/>
        <v>93566</v>
      </c>
      <c r="V63" s="273">
        <v>0</v>
      </c>
      <c r="W63" s="261">
        <v>2029</v>
      </c>
      <c r="X63" s="367">
        <f t="shared" si="11"/>
        <v>1.1552634751694639</v>
      </c>
      <c r="Y63" s="146">
        <f t="shared" si="12"/>
        <v>717341</v>
      </c>
      <c r="Z63" s="235">
        <f>IFERROR(IF(tblFuturePathway[[#This Row],[Year of Provision]]&gt;2024,VLOOKUP(tblFuturePathway[[#This Row],[Service Catchment]],'Catchment Demand - Pathway'!C$8:M$8,11,FALSE),""),"")</f>
        <v>0.33960071153808458</v>
      </c>
      <c r="AA63" s="234" cm="1">
        <f t="array" ref="AA6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2.2251442978864729E-3</v>
      </c>
      <c r="AB63" s="368">
        <f>IF(AND(tblFuturePathway[[#This Row],[Spare Capacity (%)]]&gt;30%,tblFuturePathway[[#This Row],[Share of the total Cost with the same year of provision %]]&gt;20%),(1-tblFuturePathway[[#This Row],[Spare Capacity (%)]]),1)</f>
        <v>1</v>
      </c>
      <c r="AC63" s="368">
        <f>IF(tblFuturePathway[[#This Row],[Terminal Value Analysis]]&lt;0,0,tblFuturePathway[[#This Row],[Terminal Value Analysis]])</f>
        <v>1</v>
      </c>
      <c r="AD63" s="75">
        <f>ROUND(Y63+M63-tblFuturePathway[[#This Row],[Grants and Subsidies ($)]],0)</f>
        <v>732346</v>
      </c>
      <c r="AE63" s="211">
        <f t="shared" si="13"/>
        <v>846314</v>
      </c>
      <c r="AF63" s="369">
        <f t="shared" si="14"/>
        <v>534608</v>
      </c>
      <c r="AG63" s="75">
        <f>tblFuturePathway[[#This Row],[Net Present Value of Establishment Cost]]*tblFuturePathway[[#This Row],[Terminal Value Adjustment (%)]]</f>
        <v>534608</v>
      </c>
      <c r="AH63" s="370">
        <f t="shared" si="15"/>
        <v>534608</v>
      </c>
      <c r="AI63" s="371">
        <f>tblFuturePathway[[#This Row],[Net Present Value of Establishment Cost]]*tblFuturePathway[[#This Row],[Terminal Value Adjustment (%)]]</f>
        <v>534608</v>
      </c>
    </row>
    <row r="64" spans="1:35">
      <c r="A64" s="191"/>
      <c r="B64" s="112" t="s">
        <v>2171</v>
      </c>
      <c r="C64" s="114" t="s">
        <v>2135</v>
      </c>
      <c r="D64" s="111" t="s">
        <v>2224</v>
      </c>
      <c r="E64" s="111" t="s">
        <v>113</v>
      </c>
      <c r="F64" s="111" t="s">
        <v>2208</v>
      </c>
      <c r="G64" s="113"/>
      <c r="H64" s="275">
        <v>687</v>
      </c>
      <c r="I64" s="276" t="s">
        <v>2224</v>
      </c>
      <c r="J64" s="112"/>
      <c r="K64" s="206">
        <v>5269</v>
      </c>
      <c r="L64" s="373">
        <f>IF(tblFuturePathway[[#This Row],[Size of Land (m2)]]=0,0,tblFuturePathway[[#This Row],[Land Value]]/tblFuturePathway[[#This Row],[Size of Land (m2)]])</f>
        <v>70.564813057506171</v>
      </c>
      <c r="M64" s="195">
        <v>371806</v>
      </c>
      <c r="N64" s="195">
        <f>tblFuturePathway[[#This Row],[Direct Construction Cost]]/tblFuturePathway[[#This Row],[Length (m)]]</f>
        <v>736.04366812227079</v>
      </c>
      <c r="O64" s="72">
        <v>505662</v>
      </c>
      <c r="P64" s="111">
        <v>2021</v>
      </c>
      <c r="Q64" s="76">
        <v>0.01</v>
      </c>
      <c r="R64" s="206"/>
      <c r="S64" s="365">
        <f t="shared" si="8"/>
        <v>116302</v>
      </c>
      <c r="T64" s="366">
        <f t="shared" si="9"/>
        <v>0.15</v>
      </c>
      <c r="U64" s="365">
        <f t="shared" si="10"/>
        <v>93295</v>
      </c>
      <c r="V64" s="273">
        <v>0</v>
      </c>
      <c r="W64" s="261">
        <v>2029</v>
      </c>
      <c r="X64" s="367">
        <f t="shared" si="11"/>
        <v>1.1552634751694639</v>
      </c>
      <c r="Y64" s="146">
        <f t="shared" si="12"/>
        <v>715259</v>
      </c>
      <c r="Z64" s="235">
        <f>IFERROR(IF(tblFuturePathway[[#This Row],[Year of Provision]]&gt;2024,VLOOKUP(tblFuturePathway[[#This Row],[Service Catchment]],'Catchment Demand - Pathway'!C$8:M$8,11,FALSE),""),"")</f>
        <v>0.33960071153808458</v>
      </c>
      <c r="AA64" s="234" cm="1">
        <f t="array" ref="AA6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3.3189324476819945E-3</v>
      </c>
      <c r="AB64" s="368">
        <f>IF(AND(tblFuturePathway[[#This Row],[Spare Capacity (%)]]&gt;30%,tblFuturePathway[[#This Row],[Share of the total Cost with the same year of provision %]]&gt;20%),(1-tblFuturePathway[[#This Row],[Spare Capacity (%)]]),1)</f>
        <v>1</v>
      </c>
      <c r="AC64" s="368">
        <f>IF(tblFuturePathway[[#This Row],[Terminal Value Analysis]]&lt;0,0,tblFuturePathway[[#This Row],[Terminal Value Analysis]])</f>
        <v>1</v>
      </c>
      <c r="AD64" s="75">
        <f>ROUND(Y64+M64-tblFuturePathway[[#This Row],[Grants and Subsidies ($)]],0)</f>
        <v>1087065</v>
      </c>
      <c r="AE64" s="211">
        <f t="shared" si="13"/>
        <v>1262325</v>
      </c>
      <c r="AF64" s="369">
        <f t="shared" si="14"/>
        <v>797399</v>
      </c>
      <c r="AG64" s="75">
        <f>tblFuturePathway[[#This Row],[Net Present Value of Establishment Cost]]*tblFuturePathway[[#This Row],[Terminal Value Adjustment (%)]]</f>
        <v>797399</v>
      </c>
      <c r="AH64" s="370">
        <f t="shared" si="15"/>
        <v>797399</v>
      </c>
      <c r="AI64" s="371">
        <f>tblFuturePathway[[#This Row],[Net Present Value of Establishment Cost]]*tblFuturePathway[[#This Row],[Terminal Value Adjustment (%)]]</f>
        <v>797399</v>
      </c>
    </row>
    <row r="65" spans="1:35">
      <c r="A65" s="191"/>
      <c r="B65" s="112" t="s">
        <v>2470</v>
      </c>
      <c r="C65" s="114" t="s">
        <v>2403</v>
      </c>
      <c r="D65" s="111" t="s">
        <v>2224</v>
      </c>
      <c r="E65" s="111" t="s">
        <v>113</v>
      </c>
      <c r="F65" s="111" t="s">
        <v>2358</v>
      </c>
      <c r="G65" s="113"/>
      <c r="H65" s="275">
        <v>1587</v>
      </c>
      <c r="I65" s="276" t="s">
        <v>2224</v>
      </c>
      <c r="J65" s="112"/>
      <c r="K65" s="206">
        <v>10141</v>
      </c>
      <c r="L65" s="373">
        <f>IF(tblFuturePathway[[#This Row],[Size of Land (m2)]]=0,0,tblFuturePathway[[#This Row],[Land Value]]/tblFuturePathway[[#This Row],[Size of Land (m2)]])</f>
        <v>10.474608026821812</v>
      </c>
      <c r="M65" s="195">
        <v>106223</v>
      </c>
      <c r="N65" s="195">
        <f>tblFuturePathway[[#This Row],[Direct Construction Cost]]/tblFuturePathway[[#This Row],[Length (m)]]</f>
        <v>736.04284814114681</v>
      </c>
      <c r="O65" s="72">
        <v>1168100</v>
      </c>
      <c r="P65" s="111">
        <v>2021</v>
      </c>
      <c r="Q65" s="76">
        <v>0.01</v>
      </c>
      <c r="R65" s="206"/>
      <c r="S65" s="365">
        <f t="shared" si="8"/>
        <v>268663</v>
      </c>
      <c r="T65" s="366">
        <f t="shared" si="9"/>
        <v>0.15</v>
      </c>
      <c r="U65" s="365">
        <f t="shared" si="10"/>
        <v>215514</v>
      </c>
      <c r="V65" s="273">
        <v>0</v>
      </c>
      <c r="W65" s="261">
        <v>2029</v>
      </c>
      <c r="X65" s="367">
        <f t="shared" si="11"/>
        <v>1.1552634751694639</v>
      </c>
      <c r="Y65" s="146">
        <f t="shared" si="12"/>
        <v>1652277</v>
      </c>
      <c r="Z65" s="235">
        <f>IFERROR(IF(tblFuturePathway[[#This Row],[Year of Provision]]&gt;2024,VLOOKUP(tblFuturePathway[[#This Row],[Service Catchment]],'Catchment Demand - Pathway'!C$8:M$8,11,FALSE),""),"")</f>
        <v>0.33960071153808458</v>
      </c>
      <c r="AA65" s="234" cm="1">
        <f t="array" ref="AA6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5.3462100193368643E-3</v>
      </c>
      <c r="AB65" s="368">
        <f>IF(AND(tblFuturePathway[[#This Row],[Spare Capacity (%)]]&gt;30%,tblFuturePathway[[#This Row],[Share of the total Cost with the same year of provision %]]&gt;20%),(1-tblFuturePathway[[#This Row],[Spare Capacity (%)]]),1)</f>
        <v>1</v>
      </c>
      <c r="AC65" s="368">
        <f>IF(tblFuturePathway[[#This Row],[Terminal Value Analysis]]&lt;0,0,tblFuturePathway[[#This Row],[Terminal Value Analysis]])</f>
        <v>1</v>
      </c>
      <c r="AD65" s="75">
        <f>ROUND(Y65+M65-tblFuturePathway[[#This Row],[Grants and Subsidies ($)]],0)</f>
        <v>1758500</v>
      </c>
      <c r="AE65" s="211">
        <f t="shared" si="13"/>
        <v>2033382</v>
      </c>
      <c r="AF65" s="369">
        <f t="shared" si="14"/>
        <v>1284468</v>
      </c>
      <c r="AG65" s="75">
        <f>tblFuturePathway[[#This Row],[Net Present Value of Establishment Cost]]*tblFuturePathway[[#This Row],[Terminal Value Adjustment (%)]]</f>
        <v>1284468</v>
      </c>
      <c r="AH65" s="370">
        <f t="shared" si="15"/>
        <v>1284468</v>
      </c>
      <c r="AI65" s="371">
        <f>tblFuturePathway[[#This Row],[Net Present Value of Establishment Cost]]*tblFuturePathway[[#This Row],[Terminal Value Adjustment (%)]]</f>
        <v>1284468</v>
      </c>
    </row>
    <row r="66" spans="1:35">
      <c r="A66" s="191"/>
      <c r="B66" s="112" t="s">
        <v>2313</v>
      </c>
      <c r="C66" s="114" t="s">
        <v>2311</v>
      </c>
      <c r="D66" s="111" t="s">
        <v>2224</v>
      </c>
      <c r="E66" s="111" t="s">
        <v>113</v>
      </c>
      <c r="F66" s="111" t="s">
        <v>2314</v>
      </c>
      <c r="G66" s="113"/>
      <c r="H66" s="275">
        <v>441</v>
      </c>
      <c r="I66" s="276" t="s">
        <v>2224</v>
      </c>
      <c r="J66" s="112"/>
      <c r="K66" s="206">
        <v>3193</v>
      </c>
      <c r="L66" s="373">
        <f>IF(tblFuturePathway[[#This Row],[Size of Land (m2)]]=0,0,tblFuturePathway[[#This Row],[Land Value]]/tblFuturePathway[[#This Row],[Size of Land (m2)]])</f>
        <v>22.369558409019731</v>
      </c>
      <c r="M66" s="195">
        <v>71426</v>
      </c>
      <c r="N66" s="195">
        <f>tblFuturePathway[[#This Row],[Direct Construction Cost]]/tblFuturePathway[[#This Row],[Length (m)]]</f>
        <v>736.04308390022675</v>
      </c>
      <c r="O66" s="72">
        <v>324595</v>
      </c>
      <c r="P66" s="111">
        <v>2021</v>
      </c>
      <c r="Q66" s="76">
        <v>0.01</v>
      </c>
      <c r="R66" s="206"/>
      <c r="S66" s="365">
        <f t="shared" si="8"/>
        <v>74657</v>
      </c>
      <c r="T66" s="366">
        <f t="shared" si="9"/>
        <v>7.4999999999999997E-2</v>
      </c>
      <c r="U66" s="365">
        <f t="shared" si="10"/>
        <v>29944</v>
      </c>
      <c r="V66" s="273">
        <v>0</v>
      </c>
      <c r="W66" s="261">
        <v>2024</v>
      </c>
      <c r="X66" s="367">
        <f t="shared" si="11"/>
        <v>1.0556146069383956</v>
      </c>
      <c r="Y66" s="146">
        <f t="shared" si="12"/>
        <v>429196</v>
      </c>
      <c r="Z66" s="235" t="str">
        <f>IFERROR(IF(tblFuturePathway[[#This Row],[Year of Provision]]&gt;2024,VLOOKUP(tblFuturePathway[[#This Row],[Service Catchment]],'Catchment Demand - Pathway'!C$8:M$8,11,FALSE),""),"")</f>
        <v/>
      </c>
      <c r="AA66" s="234" cm="1">
        <f t="array" ref="AA6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66" s="368">
        <f>IF(AND(tblFuturePathway[[#This Row],[Spare Capacity (%)]]&gt;30%,tblFuturePathway[[#This Row],[Share of the total Cost with the same year of provision %]]&gt;20%),(1-tblFuturePathway[[#This Row],[Spare Capacity (%)]]),1)</f>
        <v>1</v>
      </c>
      <c r="AC66" s="368">
        <f>IF(tblFuturePathway[[#This Row],[Terminal Value Analysis]]&lt;0,0,tblFuturePathway[[#This Row],[Terminal Value Analysis]])</f>
        <v>1</v>
      </c>
      <c r="AD66" s="75">
        <f>ROUND(Y66+M66-tblFuturePathway[[#This Row],[Grants and Subsidies ($)]],0)</f>
        <v>500622</v>
      </c>
      <c r="AE66" s="211">
        <f t="shared" si="13"/>
        <v>528888</v>
      </c>
      <c r="AF66" s="369">
        <f t="shared" si="14"/>
        <v>445198</v>
      </c>
      <c r="AG66" s="75">
        <f>tblFuturePathway[[#This Row],[Net Present Value of Establishment Cost]]*tblFuturePathway[[#This Row],[Terminal Value Adjustment (%)]]</f>
        <v>445198</v>
      </c>
      <c r="AH66" s="370">
        <f t="shared" si="15"/>
        <v>445198</v>
      </c>
      <c r="AI66" s="371">
        <f>tblFuturePathway[[#This Row],[Net Present Value of Establishment Cost]]*tblFuturePathway[[#This Row],[Terminal Value Adjustment (%)]]</f>
        <v>445198</v>
      </c>
    </row>
    <row r="67" spans="1:35">
      <c r="A67" s="191"/>
      <c r="B67" s="112" t="s">
        <v>2313</v>
      </c>
      <c r="C67" s="114" t="s">
        <v>2312</v>
      </c>
      <c r="D67" s="111" t="s">
        <v>2224</v>
      </c>
      <c r="E67" s="111" t="s">
        <v>113</v>
      </c>
      <c r="F67" s="111" t="s">
        <v>2315</v>
      </c>
      <c r="G67" s="113"/>
      <c r="H67" s="275">
        <v>426</v>
      </c>
      <c r="I67" s="276" t="s">
        <v>2224</v>
      </c>
      <c r="J67" s="112"/>
      <c r="K67" s="206">
        <v>3414</v>
      </c>
      <c r="L67" s="373">
        <f>IF(tblFuturePathway[[#This Row],[Size of Land (m2)]]=0,0,tblFuturePathway[[#This Row],[Land Value]]/tblFuturePathway[[#This Row],[Size of Land (m2)]])</f>
        <v>12.924428822495607</v>
      </c>
      <c r="M67" s="195">
        <v>44124</v>
      </c>
      <c r="N67" s="195">
        <f>tblFuturePathway[[#This Row],[Direct Construction Cost]]/tblFuturePathway[[#This Row],[Length (m)]]</f>
        <v>736.04225352112678</v>
      </c>
      <c r="O67" s="72">
        <v>313554</v>
      </c>
      <c r="P67" s="111">
        <v>2021</v>
      </c>
      <c r="Q67" s="76">
        <v>0.01</v>
      </c>
      <c r="R67" s="206"/>
      <c r="S67" s="365">
        <f t="shared" si="8"/>
        <v>72117</v>
      </c>
      <c r="T67" s="366">
        <f t="shared" si="9"/>
        <v>7.4999999999999997E-2</v>
      </c>
      <c r="U67" s="365">
        <f t="shared" si="10"/>
        <v>28925</v>
      </c>
      <c r="V67" s="273">
        <v>0</v>
      </c>
      <c r="W67" s="261">
        <v>2024</v>
      </c>
      <c r="X67" s="367">
        <f t="shared" si="11"/>
        <v>1.0556146069383956</v>
      </c>
      <c r="Y67" s="146">
        <f t="shared" si="12"/>
        <v>414596</v>
      </c>
      <c r="Z67" s="235" t="str">
        <f>IFERROR(IF(tblFuturePathway[[#This Row],[Year of Provision]]&gt;2024,VLOOKUP(tblFuturePathway[[#This Row],[Service Catchment]],'Catchment Demand - Pathway'!C$8:M$8,11,FALSE),""),"")</f>
        <v/>
      </c>
      <c r="AA67" s="234" cm="1">
        <f t="array" ref="AA6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67" s="368">
        <f>IF(AND(tblFuturePathway[[#This Row],[Spare Capacity (%)]]&gt;30%,tblFuturePathway[[#This Row],[Share of the total Cost with the same year of provision %]]&gt;20%),(1-tblFuturePathway[[#This Row],[Spare Capacity (%)]]),1)</f>
        <v>1</v>
      </c>
      <c r="AC67" s="368">
        <f>IF(tblFuturePathway[[#This Row],[Terminal Value Analysis]]&lt;0,0,tblFuturePathway[[#This Row],[Terminal Value Analysis]])</f>
        <v>1</v>
      </c>
      <c r="AD67" s="75">
        <f>ROUND(Y67+M67-tblFuturePathway[[#This Row],[Grants and Subsidies ($)]],0)</f>
        <v>458720</v>
      </c>
      <c r="AE67" s="211">
        <f t="shared" si="13"/>
        <v>484494</v>
      </c>
      <c r="AF67" s="369">
        <f t="shared" si="14"/>
        <v>407828</v>
      </c>
      <c r="AG67" s="75">
        <f>tblFuturePathway[[#This Row],[Net Present Value of Establishment Cost]]*tblFuturePathway[[#This Row],[Terminal Value Adjustment (%)]]</f>
        <v>407828</v>
      </c>
      <c r="AH67" s="370">
        <f t="shared" si="15"/>
        <v>407828</v>
      </c>
      <c r="AI67" s="371">
        <f>tblFuturePathway[[#This Row],[Net Present Value of Establishment Cost]]*tblFuturePathway[[#This Row],[Terminal Value Adjustment (%)]]</f>
        <v>407828</v>
      </c>
    </row>
    <row r="68" spans="1:35">
      <c r="A68" s="191"/>
      <c r="B68" s="112" t="s">
        <v>2313</v>
      </c>
      <c r="C68" s="114" t="s">
        <v>2404</v>
      </c>
      <c r="D68" s="111" t="s">
        <v>2224</v>
      </c>
      <c r="E68" s="111" t="s">
        <v>113</v>
      </c>
      <c r="F68" s="111" t="s">
        <v>2350</v>
      </c>
      <c r="G68" s="113"/>
      <c r="H68" s="275">
        <v>454</v>
      </c>
      <c r="I68" s="276" t="s">
        <v>2224</v>
      </c>
      <c r="J68" s="112"/>
      <c r="K68" s="206">
        <v>3215</v>
      </c>
      <c r="L68" s="373">
        <f>IF(tblFuturePathway[[#This Row],[Size of Land (m2)]]=0,0,tblFuturePathway[[#This Row],[Land Value]]/tblFuturePathway[[#This Row],[Size of Land (m2)]])</f>
        <v>0</v>
      </c>
      <c r="M68" s="195">
        <v>0</v>
      </c>
      <c r="N68" s="195">
        <f>tblFuturePathway[[#This Row],[Direct Construction Cost]]/tblFuturePathway[[#This Row],[Length (m)]]</f>
        <v>736.04405286343615</v>
      </c>
      <c r="O68" s="72">
        <v>334164</v>
      </c>
      <c r="P68" s="111">
        <v>2021</v>
      </c>
      <c r="Q68" s="76">
        <v>0.01</v>
      </c>
      <c r="R68" s="206"/>
      <c r="S68" s="365">
        <f t="shared" si="8"/>
        <v>76858</v>
      </c>
      <c r="T68" s="366">
        <f t="shared" si="9"/>
        <v>7.4999999999999997E-2</v>
      </c>
      <c r="U68" s="365">
        <f t="shared" si="10"/>
        <v>30827</v>
      </c>
      <c r="V68" s="273">
        <v>0</v>
      </c>
      <c r="W68" s="261">
        <v>2024</v>
      </c>
      <c r="X68" s="367">
        <f t="shared" si="11"/>
        <v>1.0556146069383956</v>
      </c>
      <c r="Y68" s="146">
        <f t="shared" si="12"/>
        <v>441849</v>
      </c>
      <c r="Z68" s="235" t="str">
        <f>IFERROR(IF(tblFuturePathway[[#This Row],[Year of Provision]]&gt;2024,VLOOKUP(tblFuturePathway[[#This Row],[Service Catchment]],'Catchment Demand - Pathway'!C$8:M$8,11,FALSE),""),"")</f>
        <v/>
      </c>
      <c r="AA68" s="234" cm="1">
        <f t="array" ref="AA6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68" s="368">
        <f>IF(AND(tblFuturePathway[[#This Row],[Spare Capacity (%)]]&gt;30%,tblFuturePathway[[#This Row],[Share of the total Cost with the same year of provision %]]&gt;20%),(1-tblFuturePathway[[#This Row],[Spare Capacity (%)]]),1)</f>
        <v>1</v>
      </c>
      <c r="AC68" s="368">
        <f>IF(tblFuturePathway[[#This Row],[Terminal Value Analysis]]&lt;0,0,tblFuturePathway[[#This Row],[Terminal Value Analysis]])</f>
        <v>1</v>
      </c>
      <c r="AD68" s="75">
        <f>ROUND(Y68+M68-tblFuturePathway[[#This Row],[Grants and Subsidies ($)]],0)</f>
        <v>441849</v>
      </c>
      <c r="AE68" s="211">
        <f t="shared" si="13"/>
        <v>466422</v>
      </c>
      <c r="AF68" s="369">
        <f t="shared" si="14"/>
        <v>392616</v>
      </c>
      <c r="AG68" s="75">
        <f>tblFuturePathway[[#This Row],[Net Present Value of Establishment Cost]]*tblFuturePathway[[#This Row],[Terminal Value Adjustment (%)]]</f>
        <v>392616</v>
      </c>
      <c r="AH68" s="370">
        <f t="shared" si="15"/>
        <v>392616</v>
      </c>
      <c r="AI68" s="371">
        <f>tblFuturePathway[[#This Row],[Net Present Value of Establishment Cost]]*tblFuturePathway[[#This Row],[Terminal Value Adjustment (%)]]</f>
        <v>392616</v>
      </c>
    </row>
    <row r="69" spans="1:35">
      <c r="A69" s="191"/>
      <c r="B69" s="112" t="s">
        <v>2471</v>
      </c>
      <c r="C69" s="114" t="s">
        <v>2405</v>
      </c>
      <c r="D69" s="111" t="s">
        <v>2224</v>
      </c>
      <c r="E69" s="111" t="s">
        <v>113</v>
      </c>
      <c r="F69" s="111" t="s">
        <v>2351</v>
      </c>
      <c r="G69" s="113"/>
      <c r="H69" s="275">
        <v>454</v>
      </c>
      <c r="I69" s="276" t="s">
        <v>2224</v>
      </c>
      <c r="J69" s="112"/>
      <c r="K69" s="206">
        <v>3214</v>
      </c>
      <c r="L69" s="373">
        <f>IF(tblFuturePathway[[#This Row],[Size of Land (m2)]]=0,0,tblFuturePathway[[#This Row],[Land Value]]/tblFuturePathway[[#This Row],[Size of Land (m2)]])</f>
        <v>0</v>
      </c>
      <c r="M69" s="195">
        <v>0</v>
      </c>
      <c r="N69" s="195">
        <f>tblFuturePathway[[#This Row],[Direct Construction Cost]]/tblFuturePathway[[#This Row],[Length (m)]]</f>
        <v>736.04405286343615</v>
      </c>
      <c r="O69" s="72">
        <v>334164</v>
      </c>
      <c r="P69" s="111">
        <v>2021</v>
      </c>
      <c r="Q69" s="76">
        <v>0.01</v>
      </c>
      <c r="R69" s="206"/>
      <c r="S69" s="365">
        <f t="shared" si="8"/>
        <v>76858</v>
      </c>
      <c r="T69" s="366">
        <f t="shared" si="9"/>
        <v>7.4999999999999997E-2</v>
      </c>
      <c r="U69" s="365">
        <f t="shared" si="10"/>
        <v>30827</v>
      </c>
      <c r="V69" s="273">
        <v>0</v>
      </c>
      <c r="W69" s="261">
        <v>2024</v>
      </c>
      <c r="X69" s="367">
        <f t="shared" si="11"/>
        <v>1.0556146069383956</v>
      </c>
      <c r="Y69" s="146">
        <f t="shared" si="12"/>
        <v>441849</v>
      </c>
      <c r="Z69" s="235" t="str">
        <f>IFERROR(IF(tblFuturePathway[[#This Row],[Year of Provision]]&gt;2024,VLOOKUP(tblFuturePathway[[#This Row],[Service Catchment]],'Catchment Demand - Pathway'!C$8:M$8,11,FALSE),""),"")</f>
        <v/>
      </c>
      <c r="AA69" s="234" cm="1">
        <f t="array" ref="AA6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69" s="368">
        <f>IF(AND(tblFuturePathway[[#This Row],[Spare Capacity (%)]]&gt;30%,tblFuturePathway[[#This Row],[Share of the total Cost with the same year of provision %]]&gt;20%),(1-tblFuturePathway[[#This Row],[Spare Capacity (%)]]),1)</f>
        <v>1</v>
      </c>
      <c r="AC69" s="368">
        <f>IF(tblFuturePathway[[#This Row],[Terminal Value Analysis]]&lt;0,0,tblFuturePathway[[#This Row],[Terminal Value Analysis]])</f>
        <v>1</v>
      </c>
      <c r="AD69" s="75">
        <f>ROUND(Y69+M69-tblFuturePathway[[#This Row],[Grants and Subsidies ($)]],0)</f>
        <v>441849</v>
      </c>
      <c r="AE69" s="211">
        <f t="shared" si="13"/>
        <v>466422</v>
      </c>
      <c r="AF69" s="369">
        <f t="shared" si="14"/>
        <v>392616</v>
      </c>
      <c r="AG69" s="75">
        <f>tblFuturePathway[[#This Row],[Net Present Value of Establishment Cost]]*tblFuturePathway[[#This Row],[Terminal Value Adjustment (%)]]</f>
        <v>392616</v>
      </c>
      <c r="AH69" s="370">
        <f t="shared" si="15"/>
        <v>392616</v>
      </c>
      <c r="AI69" s="371">
        <f>tblFuturePathway[[#This Row],[Net Present Value of Establishment Cost]]*tblFuturePathway[[#This Row],[Terminal Value Adjustment (%)]]</f>
        <v>392616</v>
      </c>
    </row>
    <row r="70" spans="1:35">
      <c r="A70" s="191"/>
      <c r="B70" s="112" t="s">
        <v>2472</v>
      </c>
      <c r="C70" s="114" t="s">
        <v>2406</v>
      </c>
      <c r="D70" s="111" t="s">
        <v>2224</v>
      </c>
      <c r="E70" s="111" t="s">
        <v>113</v>
      </c>
      <c r="F70" s="111" t="s">
        <v>2352</v>
      </c>
      <c r="G70" s="113"/>
      <c r="H70" s="275">
        <v>453</v>
      </c>
      <c r="I70" s="276" t="s">
        <v>2224</v>
      </c>
      <c r="J70" s="112"/>
      <c r="K70" s="206">
        <v>3207</v>
      </c>
      <c r="L70" s="373">
        <f>IF(tblFuturePathway[[#This Row],[Size of Land (m2)]]=0,0,tblFuturePathway[[#This Row],[Land Value]]/tblFuturePathway[[#This Row],[Size of Land (m2)]])</f>
        <v>0</v>
      </c>
      <c r="M70" s="195">
        <v>0</v>
      </c>
      <c r="N70" s="195">
        <f>tblFuturePathway[[#This Row],[Direct Construction Cost]]/tblFuturePathway[[#This Row],[Length (m)]]</f>
        <v>736.04415011037531</v>
      </c>
      <c r="O70" s="72">
        <v>333428</v>
      </c>
      <c r="P70" s="111">
        <v>2021</v>
      </c>
      <c r="Q70" s="76">
        <v>0.01</v>
      </c>
      <c r="R70" s="206"/>
      <c r="S70" s="365">
        <f t="shared" si="8"/>
        <v>76688</v>
      </c>
      <c r="T70" s="366">
        <f t="shared" si="9"/>
        <v>7.4999999999999997E-2</v>
      </c>
      <c r="U70" s="365">
        <f t="shared" si="10"/>
        <v>30759</v>
      </c>
      <c r="V70" s="273">
        <v>0</v>
      </c>
      <c r="W70" s="261">
        <v>2024</v>
      </c>
      <c r="X70" s="367">
        <f t="shared" si="11"/>
        <v>1.0556146069383956</v>
      </c>
      <c r="Y70" s="146">
        <f t="shared" si="12"/>
        <v>440875</v>
      </c>
      <c r="Z70" s="235" t="str">
        <f>IFERROR(IF(tblFuturePathway[[#This Row],[Year of Provision]]&gt;2024,VLOOKUP(tblFuturePathway[[#This Row],[Service Catchment]],'Catchment Demand - Pathway'!C$8:M$8,11,FALSE),""),"")</f>
        <v/>
      </c>
      <c r="AA70" s="234" cm="1">
        <f t="array" ref="AA7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70" s="368">
        <f>IF(AND(tblFuturePathway[[#This Row],[Spare Capacity (%)]]&gt;30%,tblFuturePathway[[#This Row],[Share of the total Cost with the same year of provision %]]&gt;20%),(1-tblFuturePathway[[#This Row],[Spare Capacity (%)]]),1)</f>
        <v>1</v>
      </c>
      <c r="AC70" s="368">
        <f>IF(tblFuturePathway[[#This Row],[Terminal Value Analysis]]&lt;0,0,tblFuturePathway[[#This Row],[Terminal Value Analysis]])</f>
        <v>1</v>
      </c>
      <c r="AD70" s="75">
        <f>ROUND(Y70+M70-tblFuturePathway[[#This Row],[Grants and Subsidies ($)]],0)</f>
        <v>440875</v>
      </c>
      <c r="AE70" s="211">
        <f t="shared" si="13"/>
        <v>465394</v>
      </c>
      <c r="AF70" s="369">
        <f t="shared" si="14"/>
        <v>391751</v>
      </c>
      <c r="AG70" s="75">
        <f>tblFuturePathway[[#This Row],[Net Present Value of Establishment Cost]]*tblFuturePathway[[#This Row],[Terminal Value Adjustment (%)]]</f>
        <v>391751</v>
      </c>
      <c r="AH70" s="370">
        <f t="shared" si="15"/>
        <v>391751</v>
      </c>
      <c r="AI70" s="371">
        <f>tblFuturePathway[[#This Row],[Net Present Value of Establishment Cost]]*tblFuturePathway[[#This Row],[Terminal Value Adjustment (%)]]</f>
        <v>391751</v>
      </c>
    </row>
    <row r="71" spans="1:35">
      <c r="A71" s="191"/>
      <c r="B71" s="112" t="s">
        <v>2158</v>
      </c>
      <c r="C71" s="114" t="s">
        <v>2407</v>
      </c>
      <c r="D71" s="111" t="s">
        <v>2224</v>
      </c>
      <c r="E71" s="111" t="s">
        <v>113</v>
      </c>
      <c r="F71" s="111" t="s">
        <v>2353</v>
      </c>
      <c r="G71" s="113"/>
      <c r="H71" s="275">
        <v>441</v>
      </c>
      <c r="I71" s="276" t="s">
        <v>2224</v>
      </c>
      <c r="J71" s="112"/>
      <c r="K71" s="206">
        <v>7086</v>
      </c>
      <c r="L71" s="373">
        <f>IF(tblFuturePathway[[#This Row],[Size of Land (m2)]]=0,0,tblFuturePathway[[#This Row],[Land Value]]/tblFuturePathway[[#This Row],[Size of Land (m2)]])</f>
        <v>15.109370589895569</v>
      </c>
      <c r="M71" s="195">
        <v>107065</v>
      </c>
      <c r="N71" s="195">
        <f>tblFuturePathway[[#This Row],[Direct Construction Cost]]/tblFuturePathway[[#This Row],[Length (m)]]</f>
        <v>736.04308390022675</v>
      </c>
      <c r="O71" s="72">
        <v>324595</v>
      </c>
      <c r="P71" s="111">
        <v>2021</v>
      </c>
      <c r="Q71" s="76">
        <v>0.01</v>
      </c>
      <c r="R71" s="206"/>
      <c r="S71" s="365">
        <f t="shared" si="8"/>
        <v>74657</v>
      </c>
      <c r="T71" s="366">
        <f t="shared" si="9"/>
        <v>7.4999999999999997E-2</v>
      </c>
      <c r="U71" s="365">
        <f t="shared" si="10"/>
        <v>29944</v>
      </c>
      <c r="V71" s="273">
        <v>0</v>
      </c>
      <c r="W71" s="261">
        <v>2024</v>
      </c>
      <c r="X71" s="367">
        <f t="shared" si="11"/>
        <v>1.0556146069383956</v>
      </c>
      <c r="Y71" s="146">
        <f t="shared" si="12"/>
        <v>429196</v>
      </c>
      <c r="Z71" s="235" t="str">
        <f>IFERROR(IF(tblFuturePathway[[#This Row],[Year of Provision]]&gt;2024,VLOOKUP(tblFuturePathway[[#This Row],[Service Catchment]],'Catchment Demand - Pathway'!C$8:M$8,11,FALSE),""),"")</f>
        <v/>
      </c>
      <c r="AA71" s="234" cm="1">
        <f t="array" ref="AA7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71" s="368">
        <f>IF(AND(tblFuturePathway[[#This Row],[Spare Capacity (%)]]&gt;30%,tblFuturePathway[[#This Row],[Share of the total Cost with the same year of provision %]]&gt;20%),(1-tblFuturePathway[[#This Row],[Spare Capacity (%)]]),1)</f>
        <v>1</v>
      </c>
      <c r="AC71" s="368">
        <f>IF(tblFuturePathway[[#This Row],[Terminal Value Analysis]]&lt;0,0,tblFuturePathway[[#This Row],[Terminal Value Analysis]])</f>
        <v>1</v>
      </c>
      <c r="AD71" s="75">
        <f>ROUND(Y71+M71-tblFuturePathway[[#This Row],[Grants and Subsidies ($)]],0)</f>
        <v>536261</v>
      </c>
      <c r="AE71" s="211">
        <f t="shared" si="13"/>
        <v>566721</v>
      </c>
      <c r="AF71" s="369">
        <f t="shared" si="14"/>
        <v>477044</v>
      </c>
      <c r="AG71" s="75">
        <f>tblFuturePathway[[#This Row],[Net Present Value of Establishment Cost]]*tblFuturePathway[[#This Row],[Terminal Value Adjustment (%)]]</f>
        <v>477044</v>
      </c>
      <c r="AH71" s="370">
        <f t="shared" si="15"/>
        <v>477044</v>
      </c>
      <c r="AI71" s="371">
        <f>tblFuturePathway[[#This Row],[Net Present Value of Establishment Cost]]*tblFuturePathway[[#This Row],[Terminal Value Adjustment (%)]]</f>
        <v>477044</v>
      </c>
    </row>
    <row r="72" spans="1:35">
      <c r="A72" s="191"/>
      <c r="B72" s="112" t="s">
        <v>2473</v>
      </c>
      <c r="C72" s="114" t="s">
        <v>2354</v>
      </c>
      <c r="D72" s="111" t="s">
        <v>2225</v>
      </c>
      <c r="E72" s="111" t="s">
        <v>113</v>
      </c>
      <c r="F72" s="111" t="s">
        <v>2277</v>
      </c>
      <c r="G72" s="113"/>
      <c r="H72" s="275">
        <v>2334</v>
      </c>
      <c r="I72" s="276" t="s">
        <v>2225</v>
      </c>
      <c r="J72" s="112"/>
      <c r="K72" s="206">
        <v>13570</v>
      </c>
      <c r="L72" s="373">
        <f>IF(tblFuturePathway[[#This Row],[Size of Land (m2)]]=0,0,tblFuturePathway[[#This Row],[Land Value]]/tblFuturePathway[[#This Row],[Size of Land (m2)]])</f>
        <v>146.85482682387621</v>
      </c>
      <c r="M72" s="195">
        <v>1992820</v>
      </c>
      <c r="N72" s="195">
        <f>tblFuturePathway[[#This Row],[Direct Construction Cost]]/tblFuturePathway[[#This Row],[Length (m)]]</f>
        <v>736.04327335047128</v>
      </c>
      <c r="O72" s="72">
        <v>1717925</v>
      </c>
      <c r="P72" s="111">
        <v>2021</v>
      </c>
      <c r="Q72" s="76">
        <v>0.01</v>
      </c>
      <c r="R72" s="206"/>
      <c r="S72" s="365">
        <f t="shared" si="8"/>
        <v>395123</v>
      </c>
      <c r="T72" s="366">
        <f t="shared" si="9"/>
        <v>0.15</v>
      </c>
      <c r="U72" s="365">
        <f t="shared" si="10"/>
        <v>316957</v>
      </c>
      <c r="V72" s="273">
        <v>0</v>
      </c>
      <c r="W72" s="261">
        <v>2029</v>
      </c>
      <c r="X72" s="367">
        <f t="shared" si="11"/>
        <v>1.1552634751694639</v>
      </c>
      <c r="Y72" s="146">
        <f t="shared" si="12"/>
        <v>2430005</v>
      </c>
      <c r="Z72" s="235">
        <f>IFERROR(IF(tblFuturePathway[[#This Row],[Year of Provision]]&gt;2024,VLOOKUP(tblFuturePathway[[#This Row],[Service Catchment]],'Catchment Demand - Pathway'!C$8:M$8,11,FALSE),""),"")</f>
        <v>0.33960071153808458</v>
      </c>
      <c r="AA72" s="234" cm="1">
        <f t="array" ref="AA7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1.3525370096706629E-2</v>
      </c>
      <c r="AB72" s="368">
        <f>IF(AND(tblFuturePathway[[#This Row],[Spare Capacity (%)]]&gt;30%,tblFuturePathway[[#This Row],[Share of the total Cost with the same year of provision %]]&gt;20%),(1-tblFuturePathway[[#This Row],[Spare Capacity (%)]]),1)</f>
        <v>1</v>
      </c>
      <c r="AC72" s="368">
        <f>IF(tblFuturePathway[[#This Row],[Terminal Value Analysis]]&lt;0,0,tblFuturePathway[[#This Row],[Terminal Value Analysis]])</f>
        <v>1</v>
      </c>
      <c r="AD72" s="75">
        <f>ROUND(Y72+M72-tblFuturePathway[[#This Row],[Grants and Subsidies ($)]],0)</f>
        <v>4422825</v>
      </c>
      <c r="AE72" s="211">
        <f t="shared" si="13"/>
        <v>5144251</v>
      </c>
      <c r="AF72" s="369">
        <f t="shared" si="14"/>
        <v>3249574</v>
      </c>
      <c r="AG72" s="75">
        <f>tblFuturePathway[[#This Row],[Net Present Value of Establishment Cost]]*tblFuturePathway[[#This Row],[Terminal Value Adjustment (%)]]</f>
        <v>3249574</v>
      </c>
      <c r="AH72" s="370">
        <f t="shared" si="15"/>
        <v>3249574</v>
      </c>
      <c r="AI72" s="371">
        <f>tblFuturePathway[[#This Row],[Net Present Value of Establishment Cost]]*tblFuturePathway[[#This Row],[Terminal Value Adjustment (%)]]</f>
        <v>3249574</v>
      </c>
    </row>
    <row r="73" spans="1:35">
      <c r="A73" s="191"/>
      <c r="B73" s="112" t="s">
        <v>2173</v>
      </c>
      <c r="C73" s="114" t="s">
        <v>2496</v>
      </c>
      <c r="D73" s="111" t="s">
        <v>2224</v>
      </c>
      <c r="E73" s="111" t="s">
        <v>113</v>
      </c>
      <c r="F73" s="111" t="s">
        <v>2492</v>
      </c>
      <c r="G73" s="113"/>
      <c r="H73" s="275">
        <v>288</v>
      </c>
      <c r="I73" s="276" t="s">
        <v>2224</v>
      </c>
      <c r="J73" s="112"/>
      <c r="K73" s="206">
        <v>2300</v>
      </c>
      <c r="L73" s="373">
        <f>IF(tblFuturePathway[[#This Row],[Size of Land (m2)]]=0,0,tblFuturePathway[[#This Row],[Land Value]]/tblFuturePathway[[#This Row],[Size of Land (m2)]])</f>
        <v>12.533478260869565</v>
      </c>
      <c r="M73" s="195">
        <v>28827</v>
      </c>
      <c r="N73" s="195">
        <f>tblFuturePathway[[#This Row],[Direct Construction Cost]]/tblFuturePathway[[#This Row],[Length (m)]]</f>
        <v>736.04166666666663</v>
      </c>
      <c r="O73" s="72">
        <v>211980</v>
      </c>
      <c r="P73" s="111">
        <v>2021</v>
      </c>
      <c r="Q73" s="76">
        <v>0.01</v>
      </c>
      <c r="R73" s="206"/>
      <c r="S73" s="365">
        <f t="shared" ref="S73:S78" si="24">ROUND((O73)*23%,0)</f>
        <v>48755</v>
      </c>
      <c r="T73" s="366">
        <f t="shared" ref="T73:T78" si="25">IF(W73="","",IF(W73&lt;=YEAR+5,0.075,IF(AND(W73&gt;YEAR+5,W73&lt;=YEAR+10),0.15,IF(AND(W73&gt;YEAR+10,W73&lt;=YEAR+20),0.2,IF(W73&gt;YEAR+20,0.25,"")))))</f>
        <v>7.4999999999999997E-2</v>
      </c>
      <c r="U73" s="365">
        <f t="shared" ref="U73:U78" si="26">ROUND((O73+S73)*T73,0)</f>
        <v>19555</v>
      </c>
      <c r="V73" s="273">
        <v>0</v>
      </c>
      <c r="W73" s="261">
        <v>2024</v>
      </c>
      <c r="X73" s="367">
        <f t="shared" ref="X73:X78" si="27">(1+PPI)^(W73-YEAR)</f>
        <v>1.0556146069383956</v>
      </c>
      <c r="Y73" s="146">
        <f t="shared" ref="Y73:Y78" si="28">ROUND(U73+S73+O73,0)</f>
        <v>280290</v>
      </c>
      <c r="Z73" s="235" t="str">
        <f>IFERROR(IF(tblFuturePathway[[#This Row],[Year of Provision]]&gt;2024,VLOOKUP(tblFuturePathway[[#This Row],[Service Catchment]],'Catchment Demand - Pathway'!C$8:M$8,11,FALSE),""),"")</f>
        <v/>
      </c>
      <c r="AA73" s="234" cm="1">
        <f t="array" ref="AA7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73" s="368">
        <f>IF(AND(tblFuturePathway[[#This Row],[Spare Capacity (%)]]&gt;30%,tblFuturePathway[[#This Row],[Share of the total Cost with the same year of provision %]]&gt;20%),(1-tblFuturePathway[[#This Row],[Spare Capacity (%)]]),1)</f>
        <v>1</v>
      </c>
      <c r="AC73" s="368">
        <f>IF(tblFuturePathway[[#This Row],[Terminal Value Analysis]]&lt;0,0,tblFuturePathway[[#This Row],[Terminal Value Analysis]])</f>
        <v>1</v>
      </c>
      <c r="AD73" s="75">
        <f>ROUND(Y73+M73-tblFuturePathway[[#This Row],[Grants and Subsidies ($)]],0)</f>
        <v>309117</v>
      </c>
      <c r="AE73" s="211">
        <f t="shared" ref="AE73:AE78" si="29">IFERROR(ROUND((Y73*X73+(M73*((1+Landind)^(W73-YEAR)))),0),0)</f>
        <v>326480</v>
      </c>
      <c r="AF73" s="369">
        <f t="shared" ref="AF73:AF78" si="30">ROUND((AE73*(1/(1+WACC))^(W73-YEAR)),0)</f>
        <v>274818</v>
      </c>
      <c r="AG73" s="75">
        <f>tblFuturePathway[[#This Row],[Net Present Value of Establishment Cost]]*tblFuturePathway[[#This Row],[Terminal Value Adjustment (%)]]</f>
        <v>274818</v>
      </c>
      <c r="AH73" s="370">
        <f t="shared" ref="AH73:AH78" si="31">AF73</f>
        <v>274818</v>
      </c>
      <c r="AI73" s="371">
        <f>tblFuturePathway[[#This Row],[Net Present Value of Establishment Cost]]*tblFuturePathway[[#This Row],[Terminal Value Adjustment (%)]]</f>
        <v>274818</v>
      </c>
    </row>
    <row r="74" spans="1:35">
      <c r="A74" s="191"/>
      <c r="B74" s="112" t="s">
        <v>2173</v>
      </c>
      <c r="C74" s="114" t="s">
        <v>2494</v>
      </c>
      <c r="D74" s="111" t="s">
        <v>2224</v>
      </c>
      <c r="E74" s="111" t="s">
        <v>113</v>
      </c>
      <c r="F74" s="111" t="s">
        <v>2355</v>
      </c>
      <c r="G74" s="113"/>
      <c r="H74" s="275">
        <v>483</v>
      </c>
      <c r="I74" s="276" t="s">
        <v>2224</v>
      </c>
      <c r="J74" s="112"/>
      <c r="K74" s="206">
        <v>3413</v>
      </c>
      <c r="L74" s="373">
        <f>IF(tblFuturePathway[[#This Row],[Size of Land (m2)]]=0,0,tblFuturePathway[[#This Row],[Land Value]]/tblFuturePathway[[#This Row],[Size of Land (m2)]])</f>
        <v>249.05215353061823</v>
      </c>
      <c r="M74" s="195">
        <v>850015</v>
      </c>
      <c r="N74" s="195">
        <f>tblFuturePathway[[#This Row],[Direct Construction Cost]]/tblFuturePathway[[#This Row],[Length (m)]]</f>
        <v>736.04347826086962</v>
      </c>
      <c r="O74" s="72">
        <v>355509</v>
      </c>
      <c r="P74" s="111">
        <v>2021</v>
      </c>
      <c r="Q74" s="76">
        <v>0.01</v>
      </c>
      <c r="R74" s="206"/>
      <c r="S74" s="365">
        <f t="shared" si="24"/>
        <v>81767</v>
      </c>
      <c r="T74" s="366">
        <f t="shared" si="25"/>
        <v>0.15</v>
      </c>
      <c r="U74" s="365">
        <f t="shared" si="26"/>
        <v>65591</v>
      </c>
      <c r="V74" s="273">
        <v>0</v>
      </c>
      <c r="W74" s="261">
        <v>2029</v>
      </c>
      <c r="X74" s="367">
        <f t="shared" si="27"/>
        <v>1.1552634751694639</v>
      </c>
      <c r="Y74" s="146">
        <f t="shared" si="28"/>
        <v>502867</v>
      </c>
      <c r="Z74" s="235">
        <f>IFERROR(IF(tblFuturePathway[[#This Row],[Year of Provision]]&gt;2024,VLOOKUP(tblFuturePathway[[#This Row],[Service Catchment]],'Catchment Demand - Pathway'!C$8:M$8,11,FALSE),""),"")</f>
        <v>0.33960071153808458</v>
      </c>
      <c r="AA74" s="234" cm="1">
        <f t="array" ref="AA7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4.1482420559656036E-3</v>
      </c>
      <c r="AB74" s="368">
        <f>IF(AND(tblFuturePathway[[#This Row],[Spare Capacity (%)]]&gt;30%,tblFuturePathway[[#This Row],[Share of the total Cost with the same year of provision %]]&gt;20%),(1-tblFuturePathway[[#This Row],[Spare Capacity (%)]]),1)</f>
        <v>1</v>
      </c>
      <c r="AC74" s="368">
        <f>IF(tblFuturePathway[[#This Row],[Terminal Value Analysis]]&lt;0,0,tblFuturePathway[[#This Row],[Terminal Value Analysis]])</f>
        <v>1</v>
      </c>
      <c r="AD74" s="75">
        <f>ROUND(Y74+M74-tblFuturePathway[[#This Row],[Grants and Subsidies ($)]],0)</f>
        <v>1352882</v>
      </c>
      <c r="AE74" s="211">
        <f t="shared" si="29"/>
        <v>1577746</v>
      </c>
      <c r="AF74" s="369">
        <f t="shared" si="30"/>
        <v>996647</v>
      </c>
      <c r="AG74" s="75">
        <f>tblFuturePathway[[#This Row],[Net Present Value of Establishment Cost]]*tblFuturePathway[[#This Row],[Terminal Value Adjustment (%)]]</f>
        <v>996647</v>
      </c>
      <c r="AH74" s="370">
        <f t="shared" si="31"/>
        <v>996647</v>
      </c>
      <c r="AI74" s="371">
        <f>tblFuturePathway[[#This Row],[Net Present Value of Establishment Cost]]*tblFuturePathway[[#This Row],[Terminal Value Adjustment (%)]]</f>
        <v>996647</v>
      </c>
    </row>
    <row r="75" spans="1:35">
      <c r="A75" s="191"/>
      <c r="B75" s="112" t="s">
        <v>2174</v>
      </c>
      <c r="C75" s="114" t="s">
        <v>2136</v>
      </c>
      <c r="D75" s="111" t="s">
        <v>2225</v>
      </c>
      <c r="E75" s="111" t="s">
        <v>113</v>
      </c>
      <c r="F75" s="111" t="s">
        <v>2209</v>
      </c>
      <c r="G75" s="113"/>
      <c r="H75" s="275">
        <v>437</v>
      </c>
      <c r="I75" s="276" t="s">
        <v>2225</v>
      </c>
      <c r="J75" s="112"/>
      <c r="K75" s="206">
        <v>3040</v>
      </c>
      <c r="L75" s="373">
        <f>IF(tblFuturePathway[[#This Row],[Size of Land (m2)]]=0,0,tblFuturePathway[[#This Row],[Land Value]]/tblFuturePathway[[#This Row],[Size of Land (m2)]])</f>
        <v>3.8394736842105264</v>
      </c>
      <c r="M75" s="195">
        <v>11672</v>
      </c>
      <c r="N75" s="195">
        <f>tblFuturePathway[[#This Row],[Direct Construction Cost]]/tblFuturePathway[[#This Row],[Length (m)]]</f>
        <v>736.04347826086962</v>
      </c>
      <c r="O75" s="72">
        <v>321651</v>
      </c>
      <c r="P75" s="111">
        <v>2021</v>
      </c>
      <c r="Q75" s="76">
        <v>0.01</v>
      </c>
      <c r="R75" s="206"/>
      <c r="S75" s="365">
        <f t="shared" si="24"/>
        <v>73980</v>
      </c>
      <c r="T75" s="366">
        <f t="shared" si="25"/>
        <v>7.4999999999999997E-2</v>
      </c>
      <c r="U75" s="365">
        <f t="shared" si="26"/>
        <v>29672</v>
      </c>
      <c r="V75" s="273">
        <v>0</v>
      </c>
      <c r="W75" s="261">
        <v>2024</v>
      </c>
      <c r="X75" s="367">
        <f t="shared" si="27"/>
        <v>1.0556146069383956</v>
      </c>
      <c r="Y75" s="146">
        <f t="shared" si="28"/>
        <v>425303</v>
      </c>
      <c r="Z75" s="235" t="str">
        <f>IFERROR(IF(tblFuturePathway[[#This Row],[Year of Provision]]&gt;2024,VLOOKUP(tblFuturePathway[[#This Row],[Service Catchment]],'Catchment Demand - Pathway'!C$8:M$8,11,FALSE),""),"")</f>
        <v/>
      </c>
      <c r="AA75" s="234" cm="1">
        <f t="array" ref="AA7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75" s="368">
        <f>IF(AND(tblFuturePathway[[#This Row],[Spare Capacity (%)]]&gt;30%,tblFuturePathway[[#This Row],[Share of the total Cost with the same year of provision %]]&gt;20%),(1-tblFuturePathway[[#This Row],[Spare Capacity (%)]]),1)</f>
        <v>1</v>
      </c>
      <c r="AC75" s="368">
        <f>IF(tblFuturePathway[[#This Row],[Terminal Value Analysis]]&lt;0,0,tblFuturePathway[[#This Row],[Terminal Value Analysis]])</f>
        <v>1</v>
      </c>
      <c r="AD75" s="75">
        <f>ROUND(Y75+M75-tblFuturePathway[[#This Row],[Grants and Subsidies ($)]],0)</f>
        <v>436975</v>
      </c>
      <c r="AE75" s="211">
        <f t="shared" si="29"/>
        <v>461347</v>
      </c>
      <c r="AF75" s="369">
        <f t="shared" si="30"/>
        <v>388344</v>
      </c>
      <c r="AG75" s="75">
        <f>tblFuturePathway[[#This Row],[Net Present Value of Establishment Cost]]*tblFuturePathway[[#This Row],[Terminal Value Adjustment (%)]]</f>
        <v>388344</v>
      </c>
      <c r="AH75" s="370">
        <f t="shared" si="31"/>
        <v>388344</v>
      </c>
      <c r="AI75" s="371">
        <f>tblFuturePathway[[#This Row],[Net Present Value of Establishment Cost]]*tblFuturePathway[[#This Row],[Terminal Value Adjustment (%)]]</f>
        <v>388344</v>
      </c>
    </row>
    <row r="76" spans="1:35">
      <c r="A76" s="191"/>
      <c r="B76" s="112" t="s">
        <v>2495</v>
      </c>
      <c r="C76" s="114" t="s">
        <v>2485</v>
      </c>
      <c r="D76" s="111" t="s">
        <v>2224</v>
      </c>
      <c r="E76" s="111" t="s">
        <v>113</v>
      </c>
      <c r="F76" s="111" t="s">
        <v>2486</v>
      </c>
      <c r="G76" s="113"/>
      <c r="H76" s="275">
        <v>1092</v>
      </c>
      <c r="I76" s="276" t="s">
        <v>2224</v>
      </c>
      <c r="J76" s="112"/>
      <c r="K76" s="206">
        <v>8736</v>
      </c>
      <c r="L76" s="373">
        <f>IF(tblFuturePathway[[#This Row],[Size of Land (m2)]]=0,0,tblFuturePathway[[#This Row],[Land Value]]/tblFuturePathway[[#This Row],[Size of Land (m2)]])</f>
        <v>225.23363095238096</v>
      </c>
      <c r="M76" s="195">
        <v>1967641</v>
      </c>
      <c r="N76" s="195">
        <f>tblFuturePathway[[#This Row],[Direct Construction Cost]]/tblFuturePathway[[#This Row],[Length (m)]]</f>
        <v>736.04304029304035</v>
      </c>
      <c r="O76" s="72">
        <v>803759</v>
      </c>
      <c r="P76" s="111">
        <v>2021</v>
      </c>
      <c r="Q76" s="76">
        <v>0.01</v>
      </c>
      <c r="R76" s="206"/>
      <c r="S76" s="365">
        <f t="shared" si="24"/>
        <v>184865</v>
      </c>
      <c r="T76" s="366">
        <f t="shared" si="25"/>
        <v>7.4999999999999997E-2</v>
      </c>
      <c r="U76" s="365">
        <f t="shared" si="26"/>
        <v>74147</v>
      </c>
      <c r="V76" s="273">
        <v>0</v>
      </c>
      <c r="W76" s="261">
        <v>2024</v>
      </c>
      <c r="X76" s="367">
        <f t="shared" si="27"/>
        <v>1.0556146069383956</v>
      </c>
      <c r="Y76" s="146">
        <f t="shared" si="28"/>
        <v>1062771</v>
      </c>
      <c r="Z76" s="235" t="str">
        <f>IFERROR(IF(tblFuturePathway[[#This Row],[Year of Provision]]&gt;2024,VLOOKUP(tblFuturePathway[[#This Row],[Service Catchment]],'Catchment Demand - Pathway'!C$8:M$8,11,FALSE),""),"")</f>
        <v/>
      </c>
      <c r="AA76" s="234" cm="1">
        <f t="array" ref="AA7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76" s="368">
        <f>IF(AND(tblFuturePathway[[#This Row],[Spare Capacity (%)]]&gt;30%,tblFuturePathway[[#This Row],[Share of the total Cost with the same year of provision %]]&gt;20%),(1-tblFuturePathway[[#This Row],[Spare Capacity (%)]]),1)</f>
        <v>1</v>
      </c>
      <c r="AC76" s="368">
        <f>IF(tblFuturePathway[[#This Row],[Terminal Value Analysis]]&lt;0,0,tblFuturePathway[[#This Row],[Terminal Value Analysis]])</f>
        <v>1</v>
      </c>
      <c r="AD76" s="75">
        <f>ROUND(Y76+M76-tblFuturePathway[[#This Row],[Grants and Subsidies ($)]],0)</f>
        <v>3030412</v>
      </c>
      <c r="AE76" s="211">
        <f t="shared" si="29"/>
        <v>3210640</v>
      </c>
      <c r="AF76" s="369">
        <f t="shared" si="30"/>
        <v>2702593</v>
      </c>
      <c r="AG76" s="75">
        <f>tblFuturePathway[[#This Row],[Net Present Value of Establishment Cost]]*tblFuturePathway[[#This Row],[Terminal Value Adjustment (%)]]</f>
        <v>2702593</v>
      </c>
      <c r="AH76" s="370">
        <f t="shared" si="31"/>
        <v>2702593</v>
      </c>
      <c r="AI76" s="371">
        <f>tblFuturePathway[[#This Row],[Net Present Value of Establishment Cost]]*tblFuturePathway[[#This Row],[Terminal Value Adjustment (%)]]</f>
        <v>2702593</v>
      </c>
    </row>
    <row r="77" spans="1:35">
      <c r="A77" s="191"/>
      <c r="B77" s="112" t="s">
        <v>2174</v>
      </c>
      <c r="C77" s="114" t="s">
        <v>2487</v>
      </c>
      <c r="D77" s="111" t="s">
        <v>2225</v>
      </c>
      <c r="E77" s="111" t="s">
        <v>113</v>
      </c>
      <c r="F77" s="111" t="s">
        <v>2488</v>
      </c>
      <c r="G77" s="113"/>
      <c r="H77" s="275">
        <v>332</v>
      </c>
      <c r="I77" s="276" t="s">
        <v>2225</v>
      </c>
      <c r="J77" s="112"/>
      <c r="K77" s="206">
        <v>2536</v>
      </c>
      <c r="L77" s="373">
        <f>IF(tblFuturePathway[[#This Row],[Size of Land (m2)]]=0,0,tblFuturePathway[[#This Row],[Land Value]]/tblFuturePathway[[#This Row],[Size of Land (m2)]])</f>
        <v>252.33951104100947</v>
      </c>
      <c r="M77" s="195">
        <v>639933</v>
      </c>
      <c r="N77" s="195">
        <f>tblFuturePathway[[#This Row],[Direct Construction Cost]]/tblFuturePathway[[#This Row],[Length (m)]]</f>
        <v>736.04216867469881</v>
      </c>
      <c r="O77" s="72">
        <v>244366</v>
      </c>
      <c r="P77" s="111">
        <v>2021</v>
      </c>
      <c r="Q77" s="76">
        <v>0.01</v>
      </c>
      <c r="R77" s="206"/>
      <c r="S77" s="365">
        <f t="shared" si="24"/>
        <v>56204</v>
      </c>
      <c r="T77" s="366">
        <f t="shared" si="25"/>
        <v>7.4999999999999997E-2</v>
      </c>
      <c r="U77" s="365">
        <f t="shared" si="26"/>
        <v>22543</v>
      </c>
      <c r="V77" s="273">
        <v>0</v>
      </c>
      <c r="W77" s="261">
        <v>2024</v>
      </c>
      <c r="X77" s="367">
        <f t="shared" si="27"/>
        <v>1.0556146069383956</v>
      </c>
      <c r="Y77" s="146">
        <f t="shared" si="28"/>
        <v>323113</v>
      </c>
      <c r="Z77" s="235" t="str">
        <f>IFERROR(IF(tblFuturePathway[[#This Row],[Year of Provision]]&gt;2024,VLOOKUP(tblFuturePathway[[#This Row],[Service Catchment]],'Catchment Demand - Pathway'!C$8:M$8,11,FALSE),""),"")</f>
        <v/>
      </c>
      <c r="AA77" s="234" cm="1">
        <f t="array" ref="AA7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77" s="368">
        <f>IF(AND(tblFuturePathway[[#This Row],[Spare Capacity (%)]]&gt;30%,tblFuturePathway[[#This Row],[Share of the total Cost with the same year of provision %]]&gt;20%),(1-tblFuturePathway[[#This Row],[Spare Capacity (%)]]),1)</f>
        <v>1</v>
      </c>
      <c r="AC77" s="368">
        <f>IF(tblFuturePathway[[#This Row],[Terminal Value Analysis]]&lt;0,0,tblFuturePathway[[#This Row],[Terminal Value Analysis]])</f>
        <v>1</v>
      </c>
      <c r="AD77" s="75">
        <f>ROUND(Y77+M77-tblFuturePathway[[#This Row],[Grants and Subsidies ($)]],0)</f>
        <v>963046</v>
      </c>
      <c r="AE77" s="211">
        <f t="shared" si="29"/>
        <v>1020408</v>
      </c>
      <c r="AF77" s="369">
        <f t="shared" si="30"/>
        <v>858940</v>
      </c>
      <c r="AG77" s="75">
        <f>tblFuturePathway[[#This Row],[Net Present Value of Establishment Cost]]*tblFuturePathway[[#This Row],[Terminal Value Adjustment (%)]]</f>
        <v>858940</v>
      </c>
      <c r="AH77" s="370">
        <f t="shared" si="31"/>
        <v>858940</v>
      </c>
      <c r="AI77" s="371">
        <f>tblFuturePathway[[#This Row],[Net Present Value of Establishment Cost]]*tblFuturePathway[[#This Row],[Terminal Value Adjustment (%)]]</f>
        <v>858940</v>
      </c>
    </row>
    <row r="78" spans="1:35">
      <c r="A78" s="191"/>
      <c r="B78" s="112" t="s">
        <v>2474</v>
      </c>
      <c r="C78" s="114" t="s">
        <v>2408</v>
      </c>
      <c r="D78" s="111" t="s">
        <v>2224</v>
      </c>
      <c r="E78" s="111" t="s">
        <v>113</v>
      </c>
      <c r="F78" s="111" t="s">
        <v>2493</v>
      </c>
      <c r="G78" s="113"/>
      <c r="H78" s="275">
        <v>1173</v>
      </c>
      <c r="I78" s="276" t="s">
        <v>2224</v>
      </c>
      <c r="J78" s="112"/>
      <c r="K78" s="206">
        <v>8322</v>
      </c>
      <c r="L78" s="373">
        <f>IF(tblFuturePathway[[#This Row],[Size of Land (m2)]]=0,0,tblFuturePathway[[#This Row],[Land Value]]/tblFuturePathway[[#This Row],[Size of Land (m2)]])</f>
        <v>216.12328767123287</v>
      </c>
      <c r="M78" s="195">
        <v>1798578</v>
      </c>
      <c r="N78" s="195">
        <f>tblFuturePathway[[#This Row],[Direct Construction Cost]]/tblFuturePathway[[#This Row],[Length (m)]]</f>
        <v>736.04347826086962</v>
      </c>
      <c r="O78" s="72">
        <v>863379</v>
      </c>
      <c r="P78" s="111">
        <v>2021</v>
      </c>
      <c r="Q78" s="76">
        <v>0.01</v>
      </c>
      <c r="R78" s="206"/>
      <c r="S78" s="365">
        <f t="shared" si="24"/>
        <v>198577</v>
      </c>
      <c r="T78" s="366">
        <f t="shared" si="25"/>
        <v>0.15</v>
      </c>
      <c r="U78" s="365">
        <f t="shared" si="26"/>
        <v>159293</v>
      </c>
      <c r="V78" s="273">
        <v>0</v>
      </c>
      <c r="W78" s="261">
        <v>2029</v>
      </c>
      <c r="X78" s="367">
        <f t="shared" si="27"/>
        <v>1.1552634751694639</v>
      </c>
      <c r="Y78" s="146">
        <f t="shared" si="28"/>
        <v>1221249</v>
      </c>
      <c r="Z78" s="235">
        <f>IFERROR(IF(tblFuturePathway[[#This Row],[Year of Provision]]&gt;2024,VLOOKUP(tblFuturePathway[[#This Row],[Service Catchment]],'Catchment Demand - Pathway'!C$8:M$8,11,FALSE),""),"")</f>
        <v>0.33960071153808458</v>
      </c>
      <c r="AA78" s="234" cm="1">
        <f t="array" ref="AA7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9.2549467212238133E-3</v>
      </c>
      <c r="AB78" s="368">
        <f>IF(AND(tblFuturePathway[[#This Row],[Spare Capacity (%)]]&gt;30%,tblFuturePathway[[#This Row],[Share of the total Cost with the same year of provision %]]&gt;20%),(1-tblFuturePathway[[#This Row],[Spare Capacity (%)]]),1)</f>
        <v>1</v>
      </c>
      <c r="AC78" s="368">
        <f>IF(tblFuturePathway[[#This Row],[Terminal Value Analysis]]&lt;0,0,tblFuturePathway[[#This Row],[Terminal Value Analysis]])</f>
        <v>1</v>
      </c>
      <c r="AD78" s="75">
        <f>ROUND(Y78+M78-tblFuturePathway[[#This Row],[Grants and Subsidies ($)]],0)</f>
        <v>3019827</v>
      </c>
      <c r="AE78" s="211">
        <f t="shared" si="29"/>
        <v>3520035</v>
      </c>
      <c r="AF78" s="369">
        <f t="shared" si="30"/>
        <v>2223572</v>
      </c>
      <c r="AG78" s="75">
        <f>tblFuturePathway[[#This Row],[Net Present Value of Establishment Cost]]*tblFuturePathway[[#This Row],[Terminal Value Adjustment (%)]]</f>
        <v>2223572</v>
      </c>
      <c r="AH78" s="370">
        <f t="shared" si="31"/>
        <v>2223572</v>
      </c>
      <c r="AI78" s="371">
        <f>tblFuturePathway[[#This Row],[Net Present Value of Establishment Cost]]*tblFuturePathway[[#This Row],[Terminal Value Adjustment (%)]]</f>
        <v>2223572</v>
      </c>
    </row>
    <row r="79" spans="1:35">
      <c r="A79" s="191"/>
      <c r="B79" s="112" t="s">
        <v>2359</v>
      </c>
      <c r="C79" s="114" t="s">
        <v>2409</v>
      </c>
      <c r="D79" s="111" t="s">
        <v>2224</v>
      </c>
      <c r="E79" s="111" t="s">
        <v>113</v>
      </c>
      <c r="F79" s="111" t="s">
        <v>2360</v>
      </c>
      <c r="G79" s="113"/>
      <c r="H79" s="275">
        <v>3432</v>
      </c>
      <c r="I79" s="276" t="s">
        <v>2224</v>
      </c>
      <c r="J79" s="112"/>
      <c r="K79" s="206">
        <v>24218</v>
      </c>
      <c r="L79" s="373">
        <f>IF(tblFuturePathway[[#This Row],[Size of Land (m2)]]=0,0,tblFuturePathway[[#This Row],[Land Value]]/tblFuturePathway[[#This Row],[Size of Land (m2)]])</f>
        <v>10.233008506069865</v>
      </c>
      <c r="M79" s="195">
        <v>247823</v>
      </c>
      <c r="N79" s="195">
        <f>tblFuturePathway[[#This Row],[Direct Construction Cost]]/tblFuturePathway[[#This Row],[Length (m)]]</f>
        <v>736.04312354312356</v>
      </c>
      <c r="O79" s="72">
        <v>2526100</v>
      </c>
      <c r="P79" s="111">
        <v>2021</v>
      </c>
      <c r="Q79" s="76">
        <v>0.01</v>
      </c>
      <c r="R79" s="206"/>
      <c r="S79" s="365">
        <f t="shared" si="8"/>
        <v>581003</v>
      </c>
      <c r="T79" s="366">
        <f t="shared" si="9"/>
        <v>0.15</v>
      </c>
      <c r="U79" s="365">
        <f t="shared" si="10"/>
        <v>466065</v>
      </c>
      <c r="V79" s="273">
        <v>0</v>
      </c>
      <c r="W79" s="261">
        <v>2029</v>
      </c>
      <c r="X79" s="367">
        <f t="shared" si="11"/>
        <v>1.1552634751694639</v>
      </c>
      <c r="Y79" s="146">
        <f t="shared" si="12"/>
        <v>3573168</v>
      </c>
      <c r="Z79" s="235">
        <f>IFERROR(IF(tblFuturePathway[[#This Row],[Year of Provision]]&gt;2024,VLOOKUP(tblFuturePathway[[#This Row],[Service Catchment]],'Catchment Demand - Pathway'!C$8:M$8,11,FALSE),""),"")</f>
        <v>0.33960071153808458</v>
      </c>
      <c r="AA79" s="234" cm="1">
        <f t="array" ref="AA7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1.161738944142043E-2</v>
      </c>
      <c r="AB79" s="368">
        <f>IF(AND(tblFuturePathway[[#This Row],[Spare Capacity (%)]]&gt;30%,tblFuturePathway[[#This Row],[Share of the total Cost with the same year of provision %]]&gt;20%),(1-tblFuturePathway[[#This Row],[Spare Capacity (%)]]),1)</f>
        <v>1</v>
      </c>
      <c r="AC79" s="368">
        <f>IF(tblFuturePathway[[#This Row],[Terminal Value Analysis]]&lt;0,0,tblFuturePathway[[#This Row],[Terminal Value Analysis]])</f>
        <v>1</v>
      </c>
      <c r="AD79" s="75">
        <f>ROUND(Y79+M79-tblFuturePathway[[#This Row],[Grants and Subsidies ($)]],0)</f>
        <v>3820991</v>
      </c>
      <c r="AE79" s="211">
        <f t="shared" si="13"/>
        <v>4418569</v>
      </c>
      <c r="AF79" s="369">
        <f t="shared" si="14"/>
        <v>2791167</v>
      </c>
      <c r="AG79" s="75">
        <f>tblFuturePathway[[#This Row],[Net Present Value of Establishment Cost]]*tblFuturePathway[[#This Row],[Terminal Value Adjustment (%)]]</f>
        <v>2791167</v>
      </c>
      <c r="AH79" s="370">
        <f t="shared" si="15"/>
        <v>2791167</v>
      </c>
      <c r="AI79" s="371">
        <f>tblFuturePathway[[#This Row],[Net Present Value of Establishment Cost]]*tblFuturePathway[[#This Row],[Terminal Value Adjustment (%)]]</f>
        <v>2791167</v>
      </c>
    </row>
    <row r="80" spans="1:35">
      <c r="A80" s="191"/>
      <c r="B80" s="112" t="s">
        <v>2172</v>
      </c>
      <c r="C80" s="114" t="s">
        <v>2410</v>
      </c>
      <c r="D80" s="111" t="s">
        <v>2224</v>
      </c>
      <c r="E80" s="111" t="s">
        <v>113</v>
      </c>
      <c r="F80" s="111" t="s">
        <v>2357</v>
      </c>
      <c r="G80" s="113"/>
      <c r="H80" s="275">
        <v>1096</v>
      </c>
      <c r="I80" s="276" t="s">
        <v>2224</v>
      </c>
      <c r="J80" s="112"/>
      <c r="K80" s="206">
        <v>7519</v>
      </c>
      <c r="L80" s="373">
        <f>IF(tblFuturePathway[[#This Row],[Size of Land (m2)]]=0,0,tblFuturePathway[[#This Row],[Land Value]]/tblFuturePathway[[#This Row],[Size of Land (m2)]])</f>
        <v>7.6225561909828432</v>
      </c>
      <c r="M80" s="195">
        <v>57314</v>
      </c>
      <c r="N80" s="195">
        <f>tblFuturePathway[[#This Row],[Direct Construction Cost]]/tblFuturePathway[[#This Row],[Length (m)]]</f>
        <v>736.04288321167883</v>
      </c>
      <c r="O80" s="72">
        <v>806703</v>
      </c>
      <c r="P80" s="111">
        <v>2021</v>
      </c>
      <c r="Q80" s="76">
        <v>0.01</v>
      </c>
      <c r="R80" s="206"/>
      <c r="S80" s="365">
        <f t="shared" si="8"/>
        <v>185542</v>
      </c>
      <c r="T80" s="366">
        <f t="shared" si="9"/>
        <v>0.15</v>
      </c>
      <c r="U80" s="365">
        <f t="shared" si="10"/>
        <v>148837</v>
      </c>
      <c r="V80" s="273">
        <v>0</v>
      </c>
      <c r="W80" s="261">
        <v>2029</v>
      </c>
      <c r="X80" s="367">
        <f t="shared" si="11"/>
        <v>1.1552634751694639</v>
      </c>
      <c r="Y80" s="146">
        <f t="shared" si="12"/>
        <v>1141082</v>
      </c>
      <c r="Z80" s="235">
        <f>IFERROR(IF(tblFuturePathway[[#This Row],[Year of Provision]]&gt;2024,VLOOKUP(tblFuturePathway[[#This Row],[Service Catchment]],'Catchment Demand - Pathway'!C$8:M$8,11,FALSE),""),"")</f>
        <v>0.33960071153808458</v>
      </c>
      <c r="AA80" s="234" cm="1">
        <f t="array" ref="AA8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3.6426848495667427E-3</v>
      </c>
      <c r="AB80" s="368">
        <f>IF(AND(tblFuturePathway[[#This Row],[Spare Capacity (%)]]&gt;30%,tblFuturePathway[[#This Row],[Share of the total Cost with the same year of provision %]]&gt;20%),(1-tblFuturePathway[[#This Row],[Spare Capacity (%)]]),1)</f>
        <v>1</v>
      </c>
      <c r="AC80" s="368">
        <f>IF(tblFuturePathway[[#This Row],[Terminal Value Analysis]]&lt;0,0,tblFuturePathway[[#This Row],[Terminal Value Analysis]])</f>
        <v>1</v>
      </c>
      <c r="AD80" s="75">
        <f>ROUND(Y80+M80-tblFuturePathway[[#This Row],[Grants and Subsidies ($)]],0)</f>
        <v>1198396</v>
      </c>
      <c r="AE80" s="211">
        <f t="shared" si="13"/>
        <v>1385462</v>
      </c>
      <c r="AF80" s="369">
        <f t="shared" si="14"/>
        <v>875183</v>
      </c>
      <c r="AG80" s="75">
        <f>tblFuturePathway[[#This Row],[Net Present Value of Establishment Cost]]*tblFuturePathway[[#This Row],[Terminal Value Adjustment (%)]]</f>
        <v>875183</v>
      </c>
      <c r="AH80" s="370">
        <f t="shared" si="15"/>
        <v>875183</v>
      </c>
      <c r="AI80" s="371">
        <f>tblFuturePathway[[#This Row],[Net Present Value of Establishment Cost]]*tblFuturePathway[[#This Row],[Terminal Value Adjustment (%)]]</f>
        <v>875183</v>
      </c>
    </row>
    <row r="81" spans="1:35">
      <c r="A81" s="191"/>
      <c r="B81" s="112" t="s">
        <v>2168</v>
      </c>
      <c r="C81" s="114" t="s">
        <v>2463</v>
      </c>
      <c r="D81" s="111" t="s">
        <v>2224</v>
      </c>
      <c r="E81" s="111" t="s">
        <v>113</v>
      </c>
      <c r="F81" s="111" t="s">
        <v>2356</v>
      </c>
      <c r="G81" s="113"/>
      <c r="H81" s="275">
        <v>232</v>
      </c>
      <c r="I81" s="276" t="s">
        <v>2224</v>
      </c>
      <c r="J81" s="112"/>
      <c r="K81" s="206">
        <v>872</v>
      </c>
      <c r="L81" s="373">
        <f>IF(tblFuturePathway[[#This Row],[Size of Land (m2)]]=0,0,tblFuturePathway[[#This Row],[Land Value]]/tblFuturePathway[[#This Row],[Size of Land (m2)]])</f>
        <v>21.87729357798165</v>
      </c>
      <c r="M81" s="195">
        <v>19077</v>
      </c>
      <c r="N81" s="195">
        <f>tblFuturePathway[[#This Row],[Direct Construction Cost]]/tblFuturePathway[[#This Row],[Length (m)]]</f>
        <v>815.61637931034488</v>
      </c>
      <c r="O81" s="72">
        <v>189223</v>
      </c>
      <c r="P81" s="111">
        <v>2021</v>
      </c>
      <c r="Q81" s="76">
        <v>0.01</v>
      </c>
      <c r="R81" s="206"/>
      <c r="S81" s="365">
        <f>ROUND((O81)*23%,0)</f>
        <v>43521</v>
      </c>
      <c r="T81" s="366">
        <f>IF(W81="","",IF(W81&lt;=YEAR+5,0.075,IF(AND(W81&gt;YEAR+5,W81&lt;=YEAR+10),0.15,IF(AND(W81&gt;YEAR+10,W81&lt;=YEAR+20),0.2,IF(W81&gt;YEAR+20,0.25,"")))))</f>
        <v>0.15</v>
      </c>
      <c r="U81" s="365">
        <f>ROUND((O81+S81)*T81,0)</f>
        <v>34912</v>
      </c>
      <c r="V81" s="273">
        <v>0</v>
      </c>
      <c r="W81" s="261">
        <v>2029</v>
      </c>
      <c r="X81" s="367">
        <f>(1+PPI)^(W81-YEAR)</f>
        <v>1.1552634751694639</v>
      </c>
      <c r="Y81" s="146">
        <f>ROUND(U81+S81+O81,0)</f>
        <v>267656</v>
      </c>
      <c r="Z81" s="235">
        <f>IFERROR(IF(tblFuturePathway[[#This Row],[Year of Provision]]&gt;2024,VLOOKUP(tblFuturePathway[[#This Row],[Service Catchment]],'Catchment Demand - Pathway'!C$8:M$8,11,FALSE),""),"")</f>
        <v>0.33960071153808458</v>
      </c>
      <c r="AA81" s="234" cm="1">
        <f t="array" ref="AA8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8.7180981109710807E-4</v>
      </c>
      <c r="AB81" s="368">
        <f>IF(AND(tblFuturePathway[[#This Row],[Spare Capacity (%)]]&gt;30%,tblFuturePathway[[#This Row],[Share of the total Cost with the same year of provision %]]&gt;20%),(1-tblFuturePathway[[#This Row],[Spare Capacity (%)]]),1)</f>
        <v>1</v>
      </c>
      <c r="AC81" s="368">
        <f>IF(tblFuturePathway[[#This Row],[Terminal Value Analysis]]&lt;0,0,tblFuturePathway[[#This Row],[Terminal Value Analysis]])</f>
        <v>1</v>
      </c>
      <c r="AD81" s="75">
        <f>ROUND(Y81+M81-tblFuturePathway[[#This Row],[Grants and Subsidies ($)]],0)</f>
        <v>286733</v>
      </c>
      <c r="AE81" s="211">
        <f>IFERROR(ROUND((Y81*X81+(M81*((1+Landind)^(W81-YEAR)))),0),0)</f>
        <v>331585</v>
      </c>
      <c r="AF81" s="369">
        <f>ROUND((AE81*(1/(1+WACC))^(W81-YEAR)),0)</f>
        <v>209459</v>
      </c>
      <c r="AG81" s="75">
        <f>tblFuturePathway[[#This Row],[Net Present Value of Establishment Cost]]*tblFuturePathway[[#This Row],[Terminal Value Adjustment (%)]]</f>
        <v>209459</v>
      </c>
      <c r="AH81" s="370">
        <f>AF81</f>
        <v>209459</v>
      </c>
      <c r="AI81" s="371">
        <f>tblFuturePathway[[#This Row],[Net Present Value of Establishment Cost]]*tblFuturePathway[[#This Row],[Terminal Value Adjustment (%)]]</f>
        <v>209459</v>
      </c>
    </row>
    <row r="82" spans="1:35">
      <c r="A82" s="191"/>
      <c r="B82" s="112" t="s">
        <v>2175</v>
      </c>
      <c r="C82" s="114" t="s">
        <v>2137</v>
      </c>
      <c r="D82" s="111" t="s">
        <v>2225</v>
      </c>
      <c r="E82" s="111" t="s">
        <v>113</v>
      </c>
      <c r="F82" s="111" t="s">
        <v>2210</v>
      </c>
      <c r="G82" s="113"/>
      <c r="H82" s="275">
        <v>736</v>
      </c>
      <c r="I82" s="276" t="s">
        <v>2225</v>
      </c>
      <c r="J82" s="112"/>
      <c r="K82" s="206">
        <v>6334</v>
      </c>
      <c r="L82" s="373">
        <f>IF(tblFuturePathway[[#This Row],[Size of Land (m2)]]=0,0,tblFuturePathway[[#This Row],[Land Value]]/tblFuturePathway[[#This Row],[Size of Land (m2)]])</f>
        <v>4.6060940953583831</v>
      </c>
      <c r="M82" s="195">
        <v>29175</v>
      </c>
      <c r="N82" s="195">
        <f>tblFuturePathway[[#This Row],[Direct Construction Cost]]/tblFuturePathway[[#This Row],[Length (m)]]</f>
        <v>736.04347826086962</v>
      </c>
      <c r="O82" s="72">
        <v>541728</v>
      </c>
      <c r="P82" s="111">
        <v>2021</v>
      </c>
      <c r="Q82" s="76">
        <v>0.01</v>
      </c>
      <c r="R82" s="206"/>
      <c r="S82" s="365">
        <f t="shared" ref="S82:S103" si="32">ROUND((O82)*23%,0)</f>
        <v>124597</v>
      </c>
      <c r="T82" s="366">
        <f t="shared" ref="T82:T103" si="33">IF(W82="","",IF(W82&lt;=YEAR+5,0.075,IF(AND(W82&gt;YEAR+5,W82&lt;=YEAR+10),0.15,IF(AND(W82&gt;YEAR+10,W82&lt;=YEAR+20),0.2,IF(W82&gt;YEAR+20,0.25,"")))))</f>
        <v>0.15</v>
      </c>
      <c r="U82" s="365">
        <f t="shared" ref="U82:U103" si="34">ROUND((O82+S82)*T82,0)</f>
        <v>99949</v>
      </c>
      <c r="V82" s="273">
        <v>0</v>
      </c>
      <c r="W82" s="261">
        <v>2029</v>
      </c>
      <c r="X82" s="367">
        <f t="shared" ref="X82:X103" si="35">(1+PPI)^(W82-YEAR)</f>
        <v>1.1552634751694639</v>
      </c>
      <c r="Y82" s="146">
        <f t="shared" ref="Y82:Y103" si="36">ROUND(U82+S82+O82,0)</f>
        <v>766274</v>
      </c>
      <c r="Z82" s="235">
        <f>IFERROR(IF(tblFuturePathway[[#This Row],[Year of Provision]]&gt;2024,VLOOKUP(tblFuturePathway[[#This Row],[Service Catchment]],'Catchment Demand - Pathway'!C$8:M$8,11,FALSE),""),"")</f>
        <v>0.33960071153808458</v>
      </c>
      <c r="AA82" s="234" cm="1">
        <f t="array" ref="AA8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2.4174669765078933E-3</v>
      </c>
      <c r="AB82" s="368">
        <f>IF(AND(tblFuturePathway[[#This Row],[Spare Capacity (%)]]&gt;30%,tblFuturePathway[[#This Row],[Share of the total Cost with the same year of provision %]]&gt;20%),(1-tblFuturePathway[[#This Row],[Spare Capacity (%)]]),1)</f>
        <v>1</v>
      </c>
      <c r="AC82" s="368">
        <f>IF(tblFuturePathway[[#This Row],[Terminal Value Analysis]]&lt;0,0,tblFuturePathway[[#This Row],[Terminal Value Analysis]])</f>
        <v>1</v>
      </c>
      <c r="AD82" s="75">
        <f>ROUND(Y82+M82-tblFuturePathway[[#This Row],[Grants and Subsidies ($)]],0)</f>
        <v>795449</v>
      </c>
      <c r="AE82" s="211">
        <f t="shared" ref="AE82:AE103" si="37">IFERROR(ROUND((Y82*X82+(M82*((1+Landind)^(W82-YEAR)))),0),0)</f>
        <v>919462</v>
      </c>
      <c r="AF82" s="369">
        <f t="shared" ref="AF82:AF103" si="38">ROUND((AE82*(1/(1+WACC))^(W82-YEAR)),0)</f>
        <v>580815</v>
      </c>
      <c r="AG82" s="75">
        <f>tblFuturePathway[[#This Row],[Net Present Value of Establishment Cost]]*tblFuturePathway[[#This Row],[Terminal Value Adjustment (%)]]</f>
        <v>580815</v>
      </c>
      <c r="AH82" s="370">
        <f t="shared" ref="AH82:AH103" si="39">AF82</f>
        <v>580815</v>
      </c>
      <c r="AI82" s="371">
        <f>tblFuturePathway[[#This Row],[Net Present Value of Establishment Cost]]*tblFuturePathway[[#This Row],[Terminal Value Adjustment (%)]]</f>
        <v>580815</v>
      </c>
    </row>
    <row r="83" spans="1:35">
      <c r="A83" s="191"/>
      <c r="B83" s="112" t="s">
        <v>2362</v>
      </c>
      <c r="C83" s="114" t="s">
        <v>2411</v>
      </c>
      <c r="D83" s="111" t="s">
        <v>2225</v>
      </c>
      <c r="E83" s="111" t="s">
        <v>113</v>
      </c>
      <c r="F83" s="111" t="s">
        <v>2363</v>
      </c>
      <c r="G83" s="113"/>
      <c r="H83" s="275">
        <v>501</v>
      </c>
      <c r="I83" s="276" t="s">
        <v>2225</v>
      </c>
      <c r="J83" s="112"/>
      <c r="K83" s="206">
        <v>3822</v>
      </c>
      <c r="L83" s="373">
        <f>IF(tblFuturePathway[[#This Row],[Size of Land (m2)]]=0,0,tblFuturePathway[[#This Row],[Land Value]]/tblFuturePathway[[#This Row],[Size of Land (m2)]])</f>
        <v>5.9149659863945576</v>
      </c>
      <c r="M83" s="195">
        <v>22607</v>
      </c>
      <c r="N83" s="195">
        <f>tblFuturePathway[[#This Row],[Direct Construction Cost]]/tblFuturePathway[[#This Row],[Length (m)]]</f>
        <v>736.04391217564876</v>
      </c>
      <c r="O83" s="72">
        <v>368758</v>
      </c>
      <c r="P83" s="111">
        <v>2021</v>
      </c>
      <c r="Q83" s="76">
        <v>0.01</v>
      </c>
      <c r="R83" s="206"/>
      <c r="S83" s="365">
        <f t="shared" si="32"/>
        <v>84814</v>
      </c>
      <c r="T83" s="366">
        <f t="shared" si="33"/>
        <v>0.15</v>
      </c>
      <c r="U83" s="365">
        <f t="shared" si="34"/>
        <v>68036</v>
      </c>
      <c r="V83" s="273">
        <v>0</v>
      </c>
      <c r="W83" s="261">
        <v>2029</v>
      </c>
      <c r="X83" s="367">
        <f t="shared" si="35"/>
        <v>1.1552634751694639</v>
      </c>
      <c r="Y83" s="146">
        <f t="shared" si="36"/>
        <v>521608</v>
      </c>
      <c r="Z83" s="235">
        <f>IFERROR(IF(tblFuturePathway[[#This Row],[Year of Provision]]&gt;2024,VLOOKUP(tblFuturePathway[[#This Row],[Service Catchment]],'Catchment Demand - Pathway'!C$8:M$8,11,FALSE),""),"")</f>
        <v>0.33960071153808458</v>
      </c>
      <c r="AA83" s="234" cm="1">
        <f t="array" ref="AA8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1.6540574476627441E-3</v>
      </c>
      <c r="AB83" s="368">
        <f>IF(AND(tblFuturePathway[[#This Row],[Spare Capacity (%)]]&gt;30%,tblFuturePathway[[#This Row],[Share of the total Cost with the same year of provision %]]&gt;20%),(1-tblFuturePathway[[#This Row],[Spare Capacity (%)]]),1)</f>
        <v>1</v>
      </c>
      <c r="AC83" s="368">
        <f>IF(tblFuturePathway[[#This Row],[Terminal Value Analysis]]&lt;0,0,tblFuturePathway[[#This Row],[Terminal Value Analysis]])</f>
        <v>1</v>
      </c>
      <c r="AD83" s="75">
        <f>ROUND(Y83+M83-tblFuturePathway[[#This Row],[Grants and Subsidies ($)]],0)</f>
        <v>544215</v>
      </c>
      <c r="AE83" s="211">
        <f t="shared" si="37"/>
        <v>629106</v>
      </c>
      <c r="AF83" s="369">
        <f t="shared" si="38"/>
        <v>397400</v>
      </c>
      <c r="AG83" s="75">
        <f>tblFuturePathway[[#This Row],[Net Present Value of Establishment Cost]]*tblFuturePathway[[#This Row],[Terminal Value Adjustment (%)]]</f>
        <v>397400</v>
      </c>
      <c r="AH83" s="370">
        <f t="shared" si="39"/>
        <v>397400</v>
      </c>
      <c r="AI83" s="371">
        <f>tblFuturePathway[[#This Row],[Net Present Value of Establishment Cost]]*tblFuturePathway[[#This Row],[Terminal Value Adjustment (%)]]</f>
        <v>397400</v>
      </c>
    </row>
    <row r="84" spans="1:35">
      <c r="A84" s="191"/>
      <c r="B84" s="112" t="s">
        <v>2175</v>
      </c>
      <c r="C84" s="114" t="s">
        <v>2412</v>
      </c>
      <c r="D84" s="111" t="s">
        <v>2225</v>
      </c>
      <c r="E84" s="111" t="s">
        <v>113</v>
      </c>
      <c r="F84" s="111" t="s">
        <v>2361</v>
      </c>
      <c r="G84" s="113"/>
      <c r="H84" s="275">
        <v>460</v>
      </c>
      <c r="I84" s="276" t="s">
        <v>2225</v>
      </c>
      <c r="J84" s="112"/>
      <c r="K84" s="206">
        <v>3091</v>
      </c>
      <c r="L84" s="373">
        <f>IF(tblFuturePathway[[#This Row],[Size of Land (m2)]]=0,0,tblFuturePathway[[#This Row],[Land Value]]/tblFuturePathway[[#This Row],[Size of Land (m2)]])</f>
        <v>0</v>
      </c>
      <c r="M84" s="195">
        <v>0</v>
      </c>
      <c r="N84" s="195">
        <f>tblFuturePathway[[#This Row],[Direct Construction Cost]]/tblFuturePathway[[#This Row],[Length (m)]]</f>
        <v>736.04347826086962</v>
      </c>
      <c r="O84" s="72">
        <v>338580</v>
      </c>
      <c r="P84" s="111">
        <v>2021</v>
      </c>
      <c r="Q84" s="76">
        <v>0.01</v>
      </c>
      <c r="R84" s="206"/>
      <c r="S84" s="365">
        <f t="shared" si="32"/>
        <v>77873</v>
      </c>
      <c r="T84" s="366">
        <f t="shared" si="33"/>
        <v>0.15</v>
      </c>
      <c r="U84" s="365">
        <f t="shared" si="34"/>
        <v>62468</v>
      </c>
      <c r="V84" s="273">
        <v>0</v>
      </c>
      <c r="W84" s="261">
        <v>2029</v>
      </c>
      <c r="X84" s="367">
        <f t="shared" si="35"/>
        <v>1.1552634751694639</v>
      </c>
      <c r="Y84" s="146">
        <f t="shared" si="36"/>
        <v>478921</v>
      </c>
      <c r="Z84" s="235">
        <f>IFERROR(IF(tblFuturePathway[[#This Row],[Year of Provision]]&gt;2024,VLOOKUP(tblFuturePathway[[#This Row],[Service Catchment]],'Catchment Demand - Pathway'!C$8:M$8,11,FALSE),""),"")</f>
        <v>0.33960071153808458</v>
      </c>
      <c r="AA84" s="234" cm="1">
        <f t="array" ref="AA8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1.4546964923830509E-3</v>
      </c>
      <c r="AB84" s="368">
        <f>IF(AND(tblFuturePathway[[#This Row],[Spare Capacity (%)]]&gt;30%,tblFuturePathway[[#This Row],[Share of the total Cost with the same year of provision %]]&gt;20%),(1-tblFuturePathway[[#This Row],[Spare Capacity (%)]]),1)</f>
        <v>1</v>
      </c>
      <c r="AC84" s="368">
        <f>IF(tblFuturePathway[[#This Row],[Terminal Value Analysis]]&lt;0,0,tblFuturePathway[[#This Row],[Terminal Value Analysis]])</f>
        <v>1</v>
      </c>
      <c r="AD84" s="75">
        <f>ROUND(Y84+M84-tblFuturePathway[[#This Row],[Grants and Subsidies ($)]],0)</f>
        <v>478921</v>
      </c>
      <c r="AE84" s="211">
        <f t="shared" si="37"/>
        <v>553280</v>
      </c>
      <c r="AF84" s="369">
        <f t="shared" si="38"/>
        <v>349502</v>
      </c>
      <c r="AG84" s="75">
        <f>tblFuturePathway[[#This Row],[Net Present Value of Establishment Cost]]*tblFuturePathway[[#This Row],[Terminal Value Adjustment (%)]]</f>
        <v>349502</v>
      </c>
      <c r="AH84" s="370">
        <f t="shared" si="39"/>
        <v>349502</v>
      </c>
      <c r="AI84" s="371">
        <f>tblFuturePathway[[#This Row],[Net Present Value of Establishment Cost]]*tblFuturePathway[[#This Row],[Terminal Value Adjustment (%)]]</f>
        <v>349502</v>
      </c>
    </row>
    <row r="85" spans="1:35">
      <c r="A85" s="191"/>
      <c r="B85" s="112" t="s">
        <v>2176</v>
      </c>
      <c r="C85" s="114" t="s">
        <v>2138</v>
      </c>
      <c r="D85" s="111" t="s">
        <v>2224</v>
      </c>
      <c r="E85" s="111" t="s">
        <v>113</v>
      </c>
      <c r="F85" s="111" t="s">
        <v>2211</v>
      </c>
      <c r="G85" s="113"/>
      <c r="H85" s="275">
        <v>400</v>
      </c>
      <c r="I85" s="276" t="s">
        <v>2224</v>
      </c>
      <c r="J85" s="112"/>
      <c r="K85" s="206">
        <v>3085</v>
      </c>
      <c r="L85" s="373">
        <f>IF(tblFuturePathway[[#This Row],[Size of Land (m2)]]=0,0,tblFuturePathway[[#This Row],[Land Value]]/tblFuturePathway[[#This Row],[Size of Land (m2)]])</f>
        <v>400.83598055105347</v>
      </c>
      <c r="M85" s="195">
        <v>1236579</v>
      </c>
      <c r="N85" s="195">
        <f>tblFuturePathway[[#This Row],[Direct Construction Cost]]/tblFuturePathway[[#This Row],[Length (m)]]</f>
        <v>736.04250000000002</v>
      </c>
      <c r="O85" s="72">
        <v>294417</v>
      </c>
      <c r="P85" s="111">
        <v>2021</v>
      </c>
      <c r="Q85" s="76">
        <v>0.01</v>
      </c>
      <c r="R85" s="206"/>
      <c r="S85" s="365">
        <f t="shared" si="32"/>
        <v>67716</v>
      </c>
      <c r="T85" s="366">
        <f t="shared" si="33"/>
        <v>0.15</v>
      </c>
      <c r="U85" s="365">
        <f t="shared" si="34"/>
        <v>54320</v>
      </c>
      <c r="V85" s="273">
        <v>0</v>
      </c>
      <c r="W85" s="261">
        <v>2029</v>
      </c>
      <c r="X85" s="367">
        <f t="shared" si="35"/>
        <v>1.1552634751694639</v>
      </c>
      <c r="Y85" s="146">
        <f t="shared" si="36"/>
        <v>416453</v>
      </c>
      <c r="Z85" s="235">
        <f>IFERROR(IF(tblFuturePathway[[#This Row],[Year of Provision]]&gt;2024,VLOOKUP(tblFuturePathway[[#This Row],[Service Catchment]],'Catchment Demand - Pathway'!C$8:M$8,11,FALSE),""),"")</f>
        <v>0.33960071153808458</v>
      </c>
      <c r="AA85" s="234" cm="1">
        <f t="array" ref="AA8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5.0776400372838032E-3</v>
      </c>
      <c r="AB85" s="368">
        <f>IF(AND(tblFuturePathway[[#This Row],[Spare Capacity (%)]]&gt;30%,tblFuturePathway[[#This Row],[Share of the total Cost with the same year of provision %]]&gt;20%),(1-tblFuturePathway[[#This Row],[Spare Capacity (%)]]),1)</f>
        <v>1</v>
      </c>
      <c r="AC85" s="368">
        <f>IF(tblFuturePathway[[#This Row],[Terminal Value Analysis]]&lt;0,0,tblFuturePathway[[#This Row],[Terminal Value Analysis]])</f>
        <v>1</v>
      </c>
      <c r="AD85" s="75">
        <f>ROUND(Y85+M85-tblFuturePathway[[#This Row],[Grants and Subsidies ($)]],0)</f>
        <v>1653032</v>
      </c>
      <c r="AE85" s="211">
        <f t="shared" si="37"/>
        <v>1931234</v>
      </c>
      <c r="AF85" s="369">
        <f t="shared" si="38"/>
        <v>1219942</v>
      </c>
      <c r="AG85" s="75">
        <f>tblFuturePathway[[#This Row],[Net Present Value of Establishment Cost]]*tblFuturePathway[[#This Row],[Terminal Value Adjustment (%)]]</f>
        <v>1219942</v>
      </c>
      <c r="AH85" s="370">
        <f t="shared" si="39"/>
        <v>1219942</v>
      </c>
      <c r="AI85" s="371">
        <f>tblFuturePathway[[#This Row],[Net Present Value of Establishment Cost]]*tblFuturePathway[[#This Row],[Terminal Value Adjustment (%)]]</f>
        <v>1219942</v>
      </c>
    </row>
    <row r="86" spans="1:35">
      <c r="A86" s="191"/>
      <c r="B86" s="112" t="s">
        <v>2168</v>
      </c>
      <c r="C86" s="114" t="s">
        <v>2139</v>
      </c>
      <c r="D86" s="111" t="s">
        <v>2224</v>
      </c>
      <c r="E86" s="111" t="s">
        <v>113</v>
      </c>
      <c r="F86" s="111" t="s">
        <v>2212</v>
      </c>
      <c r="G86" s="113"/>
      <c r="H86" s="275">
        <v>347</v>
      </c>
      <c r="I86" s="276" t="s">
        <v>2224</v>
      </c>
      <c r="J86" s="112"/>
      <c r="K86" s="206">
        <v>2697</v>
      </c>
      <c r="L86" s="373">
        <f>IF(tblFuturePathway[[#This Row],[Size of Land (m2)]]=0,0,tblFuturePathway[[#This Row],[Land Value]]/tblFuturePathway[[#This Row],[Size of Land (m2)]])</f>
        <v>90.790507971820546</v>
      </c>
      <c r="M86" s="195">
        <v>244862</v>
      </c>
      <c r="N86" s="195">
        <f>tblFuturePathway[[#This Row],[Direct Construction Cost]]/tblFuturePathway[[#This Row],[Length (m)]]</f>
        <v>736.04322766570601</v>
      </c>
      <c r="O86" s="72">
        <v>255407</v>
      </c>
      <c r="P86" s="111">
        <v>2021</v>
      </c>
      <c r="Q86" s="76">
        <v>0.01</v>
      </c>
      <c r="R86" s="206"/>
      <c r="S86" s="365">
        <f t="shared" si="32"/>
        <v>58744</v>
      </c>
      <c r="T86" s="366">
        <f t="shared" si="33"/>
        <v>0.15</v>
      </c>
      <c r="U86" s="365">
        <f t="shared" si="34"/>
        <v>47123</v>
      </c>
      <c r="V86" s="273">
        <v>0</v>
      </c>
      <c r="W86" s="261">
        <v>2029</v>
      </c>
      <c r="X86" s="367">
        <f t="shared" si="35"/>
        <v>1.1552634751694639</v>
      </c>
      <c r="Y86" s="146">
        <f t="shared" si="36"/>
        <v>361274</v>
      </c>
      <c r="Z86" s="235">
        <f>IFERROR(IF(tblFuturePathway[[#This Row],[Year of Provision]]&gt;2024,VLOOKUP(tblFuturePathway[[#This Row],[Service Catchment]],'Catchment Demand - Pathway'!C$8:M$8,11,FALSE),""),"")</f>
        <v>0.33960071153808458</v>
      </c>
      <c r="AA86" s="234" cm="1">
        <f t="array" ref="AA8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1.8523195826953742E-3</v>
      </c>
      <c r="AB86" s="368">
        <f>IF(AND(tblFuturePathway[[#This Row],[Spare Capacity (%)]]&gt;30%,tblFuturePathway[[#This Row],[Share of the total Cost with the same year of provision %]]&gt;20%),(1-tblFuturePathway[[#This Row],[Spare Capacity (%)]]),1)</f>
        <v>1</v>
      </c>
      <c r="AC86" s="368">
        <f>IF(tblFuturePathway[[#This Row],[Terminal Value Analysis]]&lt;0,0,tblFuturePathway[[#This Row],[Terminal Value Analysis]])</f>
        <v>1</v>
      </c>
      <c r="AD86" s="75">
        <f>ROUND(Y86+M86-tblFuturePathway[[#This Row],[Grants and Subsidies ($)]],0)</f>
        <v>606136</v>
      </c>
      <c r="AE86" s="211">
        <f t="shared" si="37"/>
        <v>704513</v>
      </c>
      <c r="AF86" s="369">
        <f t="shared" si="38"/>
        <v>445034</v>
      </c>
      <c r="AG86" s="75">
        <f>tblFuturePathway[[#This Row],[Net Present Value of Establishment Cost]]*tblFuturePathway[[#This Row],[Terminal Value Adjustment (%)]]</f>
        <v>445034</v>
      </c>
      <c r="AH86" s="370">
        <f t="shared" si="39"/>
        <v>445034</v>
      </c>
      <c r="AI86" s="371">
        <f>tblFuturePathway[[#This Row],[Net Present Value of Establishment Cost]]*tblFuturePathway[[#This Row],[Terminal Value Adjustment (%)]]</f>
        <v>445034</v>
      </c>
    </row>
    <row r="87" spans="1:35">
      <c r="A87" s="191"/>
      <c r="B87" s="112" t="s">
        <v>2168</v>
      </c>
      <c r="C87" s="114" t="s">
        <v>2140</v>
      </c>
      <c r="D87" s="111" t="s">
        <v>2224</v>
      </c>
      <c r="E87" s="111" t="s">
        <v>113</v>
      </c>
      <c r="F87" s="111" t="s">
        <v>2213</v>
      </c>
      <c r="G87" s="113"/>
      <c r="H87" s="275">
        <v>814</v>
      </c>
      <c r="I87" s="276" t="s">
        <v>2224</v>
      </c>
      <c r="J87" s="112"/>
      <c r="K87" s="206">
        <v>6474</v>
      </c>
      <c r="L87" s="373">
        <f>IF(tblFuturePathway[[#This Row],[Size of Land (m2)]]=0,0,tblFuturePathway[[#This Row],[Land Value]]/tblFuturePathway[[#This Row],[Size of Land (m2)]])</f>
        <v>16.262434352795797</v>
      </c>
      <c r="M87" s="195">
        <v>105283</v>
      </c>
      <c r="N87" s="195">
        <f>tblFuturePathway[[#This Row],[Direct Construction Cost]]/tblFuturePathway[[#This Row],[Length (m)]]</f>
        <v>736.04299754299757</v>
      </c>
      <c r="O87" s="72">
        <v>599139</v>
      </c>
      <c r="P87" s="111">
        <v>2021</v>
      </c>
      <c r="Q87" s="76">
        <v>0.01</v>
      </c>
      <c r="R87" s="206"/>
      <c r="S87" s="365">
        <f t="shared" si="32"/>
        <v>137802</v>
      </c>
      <c r="T87" s="366">
        <f t="shared" si="33"/>
        <v>0.15</v>
      </c>
      <c r="U87" s="365">
        <f t="shared" si="34"/>
        <v>110541</v>
      </c>
      <c r="V87" s="273">
        <v>0</v>
      </c>
      <c r="W87" s="261">
        <v>2029</v>
      </c>
      <c r="X87" s="367">
        <f t="shared" si="35"/>
        <v>1.1552634751694639</v>
      </c>
      <c r="Y87" s="146">
        <f t="shared" si="36"/>
        <v>847482</v>
      </c>
      <c r="Z87" s="235">
        <f>IFERROR(IF(tblFuturePathway[[#This Row],[Year of Provision]]&gt;2024,VLOOKUP(tblFuturePathway[[#This Row],[Service Catchment]],'Catchment Demand - Pathway'!C$8:M$8,11,FALSE),""),"")</f>
        <v>0.33960071153808458</v>
      </c>
      <c r="AA87" s="234" cm="1">
        <f t="array" ref="AA8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2.8987918667006838E-3</v>
      </c>
      <c r="AB87" s="368">
        <f>IF(AND(tblFuturePathway[[#This Row],[Spare Capacity (%)]]&gt;30%,tblFuturePathway[[#This Row],[Share of the total Cost with the same year of provision %]]&gt;20%),(1-tblFuturePathway[[#This Row],[Spare Capacity (%)]]),1)</f>
        <v>1</v>
      </c>
      <c r="AC87" s="368">
        <f>IF(tblFuturePathway[[#This Row],[Terminal Value Analysis]]&lt;0,0,tblFuturePathway[[#This Row],[Terminal Value Analysis]])</f>
        <v>1</v>
      </c>
      <c r="AD87" s="75">
        <f>ROUND(Y87+M87-tblFuturePathway[[#This Row],[Grants and Subsidies ($)]],0)</f>
        <v>952765</v>
      </c>
      <c r="AE87" s="211">
        <f t="shared" si="37"/>
        <v>1102529</v>
      </c>
      <c r="AF87" s="369">
        <f t="shared" si="38"/>
        <v>696457</v>
      </c>
      <c r="AG87" s="75">
        <f>tblFuturePathway[[#This Row],[Net Present Value of Establishment Cost]]*tblFuturePathway[[#This Row],[Terminal Value Adjustment (%)]]</f>
        <v>696457</v>
      </c>
      <c r="AH87" s="370">
        <f t="shared" si="39"/>
        <v>696457</v>
      </c>
      <c r="AI87" s="371">
        <f>tblFuturePathway[[#This Row],[Net Present Value of Establishment Cost]]*tblFuturePathway[[#This Row],[Terminal Value Adjustment (%)]]</f>
        <v>696457</v>
      </c>
    </row>
    <row r="88" spans="1:35">
      <c r="A88" s="191"/>
      <c r="B88" s="112" t="s">
        <v>2177</v>
      </c>
      <c r="C88" s="114" t="s">
        <v>2141</v>
      </c>
      <c r="D88" s="111" t="s">
        <v>2224</v>
      </c>
      <c r="E88" s="111" t="s">
        <v>113</v>
      </c>
      <c r="F88" s="111" t="s">
        <v>2214</v>
      </c>
      <c r="G88" s="113"/>
      <c r="H88" s="275">
        <v>70</v>
      </c>
      <c r="I88" s="276" t="s">
        <v>2224</v>
      </c>
      <c r="J88" s="112"/>
      <c r="K88" s="206">
        <v>562</v>
      </c>
      <c r="L88" s="373">
        <f>IF(tblFuturePathway[[#This Row],[Size of Land (m2)]]=0,0,tblFuturePathway[[#This Row],[Land Value]]/tblFuturePathway[[#This Row],[Size of Land (m2)]])</f>
        <v>6.2064056939501775</v>
      </c>
      <c r="M88" s="195">
        <v>3488</v>
      </c>
      <c r="N88" s="195">
        <f>tblFuturePathway[[#This Row],[Direct Construction Cost]]/tblFuturePathway[[#This Row],[Length (m)]]</f>
        <v>12812</v>
      </c>
      <c r="O88" s="72">
        <v>896840</v>
      </c>
      <c r="P88" s="111">
        <v>2021</v>
      </c>
      <c r="Q88" s="76">
        <v>0.01</v>
      </c>
      <c r="R88" s="206"/>
      <c r="S88" s="365">
        <f t="shared" si="32"/>
        <v>206273</v>
      </c>
      <c r="T88" s="366">
        <f t="shared" si="33"/>
        <v>7.4999999999999997E-2</v>
      </c>
      <c r="U88" s="365">
        <f t="shared" si="34"/>
        <v>82733</v>
      </c>
      <c r="V88" s="273">
        <v>0</v>
      </c>
      <c r="W88" s="261">
        <v>2024</v>
      </c>
      <c r="X88" s="367">
        <f t="shared" si="35"/>
        <v>1.0556146069383956</v>
      </c>
      <c r="Y88" s="146">
        <f t="shared" si="36"/>
        <v>1185846</v>
      </c>
      <c r="Z88" s="235" t="str">
        <f>IFERROR(IF(tblFuturePathway[[#This Row],[Year of Provision]]&gt;2024,VLOOKUP(tblFuturePathway[[#This Row],[Service Catchment]],'Catchment Demand - Pathway'!C$8:M$8,11,FALSE),""),"")</f>
        <v/>
      </c>
      <c r="AA88" s="234" cm="1">
        <f t="array" ref="AA8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88" s="368">
        <f>IF(AND(tblFuturePathway[[#This Row],[Spare Capacity (%)]]&gt;30%,tblFuturePathway[[#This Row],[Share of the total Cost with the same year of provision %]]&gt;20%),(1-tblFuturePathway[[#This Row],[Spare Capacity (%)]]),1)</f>
        <v>1</v>
      </c>
      <c r="AC88" s="368">
        <f>IF(tblFuturePathway[[#This Row],[Terminal Value Analysis]]&lt;0,0,tblFuturePathway[[#This Row],[Terminal Value Analysis]])</f>
        <v>1</v>
      </c>
      <c r="AD88" s="75">
        <f>ROUND(Y88+M88-tblFuturePathway[[#This Row],[Grants and Subsidies ($)]],0)</f>
        <v>1189334</v>
      </c>
      <c r="AE88" s="211">
        <f t="shared" si="37"/>
        <v>1255499</v>
      </c>
      <c r="AF88" s="369">
        <f t="shared" si="38"/>
        <v>1056831</v>
      </c>
      <c r="AG88" s="75">
        <f>tblFuturePathway[[#This Row],[Net Present Value of Establishment Cost]]*tblFuturePathway[[#This Row],[Terminal Value Adjustment (%)]]</f>
        <v>1056831</v>
      </c>
      <c r="AH88" s="370">
        <f t="shared" si="39"/>
        <v>1056831</v>
      </c>
      <c r="AI88" s="371">
        <f>tblFuturePathway[[#This Row],[Net Present Value of Establishment Cost]]*tblFuturePathway[[#This Row],[Terminal Value Adjustment (%)]]</f>
        <v>1056831</v>
      </c>
    </row>
    <row r="89" spans="1:35">
      <c r="A89" s="191"/>
      <c r="B89" s="112" t="s">
        <v>2177</v>
      </c>
      <c r="C89" s="114" t="s">
        <v>2142</v>
      </c>
      <c r="D89" s="111" t="s">
        <v>2224</v>
      </c>
      <c r="E89" s="111" t="s">
        <v>113</v>
      </c>
      <c r="F89" s="111" t="s">
        <v>2215</v>
      </c>
      <c r="G89" s="113"/>
      <c r="H89" s="275">
        <v>526</v>
      </c>
      <c r="I89" s="276" t="s">
        <v>2224</v>
      </c>
      <c r="J89" s="112"/>
      <c r="K89" s="206">
        <v>4208</v>
      </c>
      <c r="L89" s="373">
        <f>IF(tblFuturePathway[[#This Row],[Size of Land (m2)]]=0,0,tblFuturePathway[[#This Row],[Land Value]]/tblFuturePathway[[#This Row],[Size of Land (m2)]])</f>
        <v>107.31154942965779</v>
      </c>
      <c r="M89" s="195">
        <v>451567</v>
      </c>
      <c r="N89" s="195">
        <f>tblFuturePathway[[#This Row],[Direct Construction Cost]]/tblFuturePathway[[#This Row],[Length (m)]]</f>
        <v>736.04372623574147</v>
      </c>
      <c r="O89" s="72">
        <v>387159</v>
      </c>
      <c r="P89" s="111">
        <v>2021</v>
      </c>
      <c r="Q89" s="76">
        <v>0.01</v>
      </c>
      <c r="R89" s="206"/>
      <c r="S89" s="365">
        <f t="shared" si="32"/>
        <v>89047</v>
      </c>
      <c r="T89" s="366">
        <f t="shared" si="33"/>
        <v>7.4999999999999997E-2</v>
      </c>
      <c r="U89" s="365">
        <f t="shared" si="34"/>
        <v>35715</v>
      </c>
      <c r="V89" s="273">
        <v>0</v>
      </c>
      <c r="W89" s="261">
        <v>2024</v>
      </c>
      <c r="X89" s="367">
        <f t="shared" si="35"/>
        <v>1.0556146069383956</v>
      </c>
      <c r="Y89" s="146">
        <f t="shared" si="36"/>
        <v>511921</v>
      </c>
      <c r="Z89" s="235" t="str">
        <f>IFERROR(IF(tblFuturePathway[[#This Row],[Year of Provision]]&gt;2024,VLOOKUP(tblFuturePathway[[#This Row],[Service Catchment]],'Catchment Demand - Pathway'!C$8:M$8,11,FALSE),""),"")</f>
        <v/>
      </c>
      <c r="AA89" s="234" cm="1">
        <f t="array" ref="AA8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89" s="368">
        <f>IF(AND(tblFuturePathway[[#This Row],[Spare Capacity (%)]]&gt;30%,tblFuturePathway[[#This Row],[Share of the total Cost with the same year of provision %]]&gt;20%),(1-tblFuturePathway[[#This Row],[Spare Capacity (%)]]),1)</f>
        <v>1</v>
      </c>
      <c r="AC89" s="368">
        <f>IF(tblFuturePathway[[#This Row],[Terminal Value Analysis]]&lt;0,0,tblFuturePathway[[#This Row],[Terminal Value Analysis]])</f>
        <v>1</v>
      </c>
      <c r="AD89" s="75">
        <f>ROUND(Y89+M89-tblFuturePathway[[#This Row],[Grants and Subsidies ($)]],0)</f>
        <v>963488</v>
      </c>
      <c r="AE89" s="211">
        <f t="shared" si="37"/>
        <v>1019755</v>
      </c>
      <c r="AF89" s="369">
        <f t="shared" si="38"/>
        <v>858391</v>
      </c>
      <c r="AG89" s="75">
        <f>tblFuturePathway[[#This Row],[Net Present Value of Establishment Cost]]*tblFuturePathway[[#This Row],[Terminal Value Adjustment (%)]]</f>
        <v>858391</v>
      </c>
      <c r="AH89" s="370">
        <f t="shared" si="39"/>
        <v>858391</v>
      </c>
      <c r="AI89" s="371">
        <f>tblFuturePathway[[#This Row],[Net Present Value of Establishment Cost]]*tblFuturePathway[[#This Row],[Terminal Value Adjustment (%)]]</f>
        <v>858391</v>
      </c>
    </row>
    <row r="90" spans="1:35">
      <c r="A90" s="191"/>
      <c r="B90" s="112" t="s">
        <v>2177</v>
      </c>
      <c r="C90" s="114" t="s">
        <v>2143</v>
      </c>
      <c r="D90" s="111" t="s">
        <v>2224</v>
      </c>
      <c r="E90" s="111" t="s">
        <v>113</v>
      </c>
      <c r="F90" s="111" t="s">
        <v>2216</v>
      </c>
      <c r="G90" s="113"/>
      <c r="H90" s="275">
        <v>207</v>
      </c>
      <c r="I90" s="276" t="s">
        <v>2224</v>
      </c>
      <c r="J90" s="112"/>
      <c r="K90" s="206">
        <v>1537</v>
      </c>
      <c r="L90" s="373">
        <f>IF(tblFuturePathway[[#This Row],[Size of Land (m2)]]=0,0,tblFuturePathway[[#This Row],[Land Value]]/tblFuturePathway[[#This Row],[Size of Land (m2)]])</f>
        <v>1335.3253090435915</v>
      </c>
      <c r="M90" s="195">
        <v>2052395</v>
      </c>
      <c r="N90" s="195">
        <f>tblFuturePathway[[#This Row],[Direct Construction Cost]]/tblFuturePathway[[#This Row],[Length (m)]]</f>
        <v>815.61835748792271</v>
      </c>
      <c r="O90" s="72">
        <v>168833</v>
      </c>
      <c r="P90" s="111">
        <v>2021</v>
      </c>
      <c r="Q90" s="76">
        <v>0.01</v>
      </c>
      <c r="R90" s="206"/>
      <c r="S90" s="365">
        <f t="shared" si="32"/>
        <v>38832</v>
      </c>
      <c r="T90" s="366">
        <f t="shared" si="33"/>
        <v>7.4999999999999997E-2</v>
      </c>
      <c r="U90" s="365">
        <f t="shared" si="34"/>
        <v>15575</v>
      </c>
      <c r="V90" s="273">
        <v>0</v>
      </c>
      <c r="W90" s="261">
        <v>2024</v>
      </c>
      <c r="X90" s="367">
        <f t="shared" si="35"/>
        <v>1.0556146069383956</v>
      </c>
      <c r="Y90" s="146">
        <f t="shared" si="36"/>
        <v>223240</v>
      </c>
      <c r="Z90" s="235" t="str">
        <f>IFERROR(IF(tblFuturePathway[[#This Row],[Year of Provision]]&gt;2024,VLOOKUP(tblFuturePathway[[#This Row],[Service Catchment]],'Catchment Demand - Pathway'!C$8:M$8,11,FALSE),""),"")</f>
        <v/>
      </c>
      <c r="AA90" s="234" cm="1">
        <f t="array" ref="AA9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90" s="368">
        <f>IF(AND(tblFuturePathway[[#This Row],[Spare Capacity (%)]]&gt;30%,tblFuturePathway[[#This Row],[Share of the total Cost with the same year of provision %]]&gt;20%),(1-tblFuturePathway[[#This Row],[Spare Capacity (%)]]),1)</f>
        <v>1</v>
      </c>
      <c r="AC90" s="368">
        <f>IF(tblFuturePathway[[#This Row],[Terminal Value Analysis]]&lt;0,0,tblFuturePathway[[#This Row],[Terminal Value Analysis]])</f>
        <v>1</v>
      </c>
      <c r="AD90" s="75">
        <f>ROUND(Y90+M90-tblFuturePathway[[#This Row],[Grants and Subsidies ($)]],0)</f>
        <v>2275635</v>
      </c>
      <c r="AE90" s="211">
        <f t="shared" si="37"/>
        <v>2414390</v>
      </c>
      <c r="AF90" s="369">
        <f t="shared" si="38"/>
        <v>2032341</v>
      </c>
      <c r="AG90" s="75">
        <f>tblFuturePathway[[#This Row],[Net Present Value of Establishment Cost]]*tblFuturePathway[[#This Row],[Terminal Value Adjustment (%)]]</f>
        <v>2032341</v>
      </c>
      <c r="AH90" s="370">
        <f t="shared" si="39"/>
        <v>2032341</v>
      </c>
      <c r="AI90" s="371">
        <f>tblFuturePathway[[#This Row],[Net Present Value of Establishment Cost]]*tblFuturePathway[[#This Row],[Terminal Value Adjustment (%)]]</f>
        <v>2032341</v>
      </c>
    </row>
    <row r="91" spans="1:35">
      <c r="A91" s="191"/>
      <c r="B91" s="112" t="s">
        <v>2177</v>
      </c>
      <c r="C91" s="114" t="s">
        <v>2144</v>
      </c>
      <c r="D91" s="111" t="s">
        <v>2224</v>
      </c>
      <c r="E91" s="111" t="s">
        <v>113</v>
      </c>
      <c r="F91" s="111" t="s">
        <v>2217</v>
      </c>
      <c r="G91" s="113"/>
      <c r="H91" s="275">
        <v>172</v>
      </c>
      <c r="I91" s="276" t="s">
        <v>2224</v>
      </c>
      <c r="J91" s="112"/>
      <c r="K91" s="206">
        <v>1356</v>
      </c>
      <c r="L91" s="373">
        <f>IF(tblFuturePathway[[#This Row],[Size of Land (m2)]]=0,0,tblFuturePathway[[#This Row],[Land Value]]/tblFuturePathway[[#This Row],[Size of Land (m2)]])</f>
        <v>1949.9808259587021</v>
      </c>
      <c r="M91" s="195">
        <v>2644174</v>
      </c>
      <c r="N91" s="195">
        <f>tblFuturePathway[[#This Row],[Direct Construction Cost]]/tblFuturePathway[[#This Row],[Length (m)]]</f>
        <v>815.61627906976742</v>
      </c>
      <c r="O91" s="72">
        <v>140286</v>
      </c>
      <c r="P91" s="111">
        <v>2021</v>
      </c>
      <c r="Q91" s="76">
        <v>0.01</v>
      </c>
      <c r="R91" s="206"/>
      <c r="S91" s="365">
        <f t="shared" si="32"/>
        <v>32266</v>
      </c>
      <c r="T91" s="366">
        <f t="shared" si="33"/>
        <v>7.4999999999999997E-2</v>
      </c>
      <c r="U91" s="365">
        <f t="shared" si="34"/>
        <v>12941</v>
      </c>
      <c r="V91" s="273">
        <v>0</v>
      </c>
      <c r="W91" s="261">
        <v>2024</v>
      </c>
      <c r="X91" s="367">
        <f t="shared" si="35"/>
        <v>1.0556146069383956</v>
      </c>
      <c r="Y91" s="146">
        <f t="shared" si="36"/>
        <v>185493</v>
      </c>
      <c r="Z91" s="235" t="str">
        <f>IFERROR(IF(tblFuturePathway[[#This Row],[Year of Provision]]&gt;2024,VLOOKUP(tblFuturePathway[[#This Row],[Service Catchment]],'Catchment Demand - Pathway'!C$8:M$8,11,FALSE),""),"")</f>
        <v/>
      </c>
      <c r="AA91" s="234" cm="1">
        <f t="array" ref="AA9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91" s="368">
        <f>IF(AND(tblFuturePathway[[#This Row],[Spare Capacity (%)]]&gt;30%,tblFuturePathway[[#This Row],[Share of the total Cost with the same year of provision %]]&gt;20%),(1-tblFuturePathway[[#This Row],[Spare Capacity (%)]]),1)</f>
        <v>1</v>
      </c>
      <c r="AC91" s="368">
        <f>IF(tblFuturePathway[[#This Row],[Terminal Value Analysis]]&lt;0,0,tblFuturePathway[[#This Row],[Terminal Value Analysis]])</f>
        <v>1</v>
      </c>
      <c r="AD91" s="75">
        <f>ROUND(Y91+M91-tblFuturePathway[[#This Row],[Grants and Subsidies ($)]],0)</f>
        <v>2829667</v>
      </c>
      <c r="AE91" s="211">
        <f t="shared" si="37"/>
        <v>3002751</v>
      </c>
      <c r="AF91" s="369">
        <f t="shared" si="38"/>
        <v>2527600</v>
      </c>
      <c r="AG91" s="75">
        <f>tblFuturePathway[[#This Row],[Net Present Value of Establishment Cost]]*tblFuturePathway[[#This Row],[Terminal Value Adjustment (%)]]</f>
        <v>2527600</v>
      </c>
      <c r="AH91" s="370">
        <f t="shared" si="39"/>
        <v>2527600</v>
      </c>
      <c r="AI91" s="371">
        <f>tblFuturePathway[[#This Row],[Net Present Value of Establishment Cost]]*tblFuturePathway[[#This Row],[Terminal Value Adjustment (%)]]</f>
        <v>2527600</v>
      </c>
    </row>
    <row r="92" spans="1:35">
      <c r="A92" s="191"/>
      <c r="B92" s="112" t="s">
        <v>2300</v>
      </c>
      <c r="C92" s="114" t="s">
        <v>2423</v>
      </c>
      <c r="D92" s="111" t="s">
        <v>2365</v>
      </c>
      <c r="E92" s="111" t="s">
        <v>113</v>
      </c>
      <c r="F92" s="111" t="s">
        <v>2366</v>
      </c>
      <c r="G92" s="113"/>
      <c r="H92" s="275">
        <v>379</v>
      </c>
      <c r="I92" s="276" t="s">
        <v>2365</v>
      </c>
      <c r="J92" s="112"/>
      <c r="K92" s="206">
        <v>0</v>
      </c>
      <c r="L92" s="373">
        <f>IF(tblFuturePathway[[#This Row],[Size of Land (m2)]]=0,0,tblFuturePathway[[#This Row],[Land Value]]/tblFuturePathway[[#This Row],[Size of Land (m2)]])</f>
        <v>0</v>
      </c>
      <c r="M92" s="195">
        <v>0</v>
      </c>
      <c r="N92" s="195">
        <f>tblFuturePathway[[#This Row],[Direct Construction Cost]]/tblFuturePathway[[#This Row],[Length (m)]]</f>
        <v>428229.8443271768</v>
      </c>
      <c r="O92" s="72">
        <v>162299111</v>
      </c>
      <c r="P92" s="111">
        <v>2021</v>
      </c>
      <c r="Q92" s="76">
        <v>0.01</v>
      </c>
      <c r="R92" s="206"/>
      <c r="S92" s="365">
        <f t="shared" si="32"/>
        <v>37328796</v>
      </c>
      <c r="T92" s="366">
        <f t="shared" si="33"/>
        <v>7.4999999999999997E-2</v>
      </c>
      <c r="U92" s="365">
        <f t="shared" si="34"/>
        <v>14972093</v>
      </c>
      <c r="V92" s="273">
        <v>0</v>
      </c>
      <c r="W92" s="261">
        <v>2024</v>
      </c>
      <c r="X92" s="367">
        <f t="shared" si="35"/>
        <v>1.0556146069383956</v>
      </c>
      <c r="Y92" s="146">
        <f t="shared" si="36"/>
        <v>214600000</v>
      </c>
      <c r="Z92" s="235" t="str">
        <f>IFERROR(IF(tblFuturePathway[[#This Row],[Year of Provision]]&gt;2024,VLOOKUP(tblFuturePathway[[#This Row],[Service Catchment]],'Catchment Demand - Pathway'!C$8:M$8,11,FALSE),""),"")</f>
        <v/>
      </c>
      <c r="AA92" s="234" cm="1">
        <f t="array" ref="AA9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92" s="368">
        <f>IF(AND(tblFuturePathway[[#This Row],[Spare Capacity (%)]]&gt;30%,tblFuturePathway[[#This Row],[Share of the total Cost with the same year of provision %]]&gt;20%),(1-tblFuturePathway[[#This Row],[Spare Capacity (%)]]),1)</f>
        <v>1</v>
      </c>
      <c r="AC92" s="368">
        <f>IF(tblFuturePathway[[#This Row],[Terminal Value Analysis]]&lt;0,0,tblFuturePathway[[#This Row],[Terminal Value Analysis]])</f>
        <v>1</v>
      </c>
      <c r="AD92" s="75">
        <f>ROUND(Y92+M92-tblFuturePathway[[#This Row],[Grants and Subsidies ($)]],0)</f>
        <v>214600000</v>
      </c>
      <c r="AE92" s="211">
        <f t="shared" si="37"/>
        <v>226534895</v>
      </c>
      <c r="AF92" s="369">
        <f t="shared" si="38"/>
        <v>190688369</v>
      </c>
      <c r="AG92" s="75">
        <f>tblFuturePathway[[#This Row],[Net Present Value of Establishment Cost]]*tblFuturePathway[[#This Row],[Terminal Value Adjustment (%)]]</f>
        <v>190688369</v>
      </c>
      <c r="AH92" s="370">
        <f t="shared" si="39"/>
        <v>190688369</v>
      </c>
      <c r="AI92" s="371">
        <f>tblFuturePathway[[#This Row],[Net Present Value of Establishment Cost]]*tblFuturePathway[[#This Row],[Terminal Value Adjustment (%)]]</f>
        <v>190688369</v>
      </c>
    </row>
    <row r="93" spans="1:35">
      <c r="A93" s="191"/>
      <c r="B93" s="112" t="s">
        <v>2178</v>
      </c>
      <c r="C93" s="114" t="s">
        <v>2145</v>
      </c>
      <c r="D93" s="111" t="s">
        <v>2225</v>
      </c>
      <c r="E93" s="111" t="s">
        <v>113</v>
      </c>
      <c r="F93" s="111" t="s">
        <v>2218</v>
      </c>
      <c r="G93" s="113"/>
      <c r="H93" s="275">
        <v>41</v>
      </c>
      <c r="I93" s="276" t="s">
        <v>2225</v>
      </c>
      <c r="J93" s="112"/>
      <c r="K93" s="206">
        <v>81</v>
      </c>
      <c r="L93" s="373">
        <f>IF(tblFuturePathway[[#This Row],[Size of Land (m2)]]=0,0,tblFuturePathway[[#This Row],[Land Value]]/tblFuturePathway[[#This Row],[Size of Land (m2)]])</f>
        <v>946.80246913580243</v>
      </c>
      <c r="M93" s="195">
        <v>76691</v>
      </c>
      <c r="N93" s="195">
        <f>tblFuturePathway[[#This Row],[Direct Construction Cost]]/tblFuturePathway[[#This Row],[Length (m)]]</f>
        <v>1143.8536585365853</v>
      </c>
      <c r="O93" s="72">
        <v>46898</v>
      </c>
      <c r="P93" s="111">
        <v>2021</v>
      </c>
      <c r="Q93" s="76">
        <v>0.01</v>
      </c>
      <c r="R93" s="206"/>
      <c r="S93" s="365">
        <f t="shared" si="32"/>
        <v>10787</v>
      </c>
      <c r="T93" s="366">
        <f t="shared" si="33"/>
        <v>7.4999999999999997E-2</v>
      </c>
      <c r="U93" s="365">
        <f t="shared" si="34"/>
        <v>4326</v>
      </c>
      <c r="V93" s="273">
        <v>0</v>
      </c>
      <c r="W93" s="261">
        <v>2024</v>
      </c>
      <c r="X93" s="367">
        <f t="shared" si="35"/>
        <v>1.0556146069383956</v>
      </c>
      <c r="Y93" s="146">
        <f t="shared" si="36"/>
        <v>62011</v>
      </c>
      <c r="Z93" s="235" t="str">
        <f>IFERROR(IF(tblFuturePathway[[#This Row],[Year of Provision]]&gt;2024,VLOOKUP(tblFuturePathway[[#This Row],[Service Catchment]],'Catchment Demand - Pathway'!C$8:M$8,11,FALSE),""),"")</f>
        <v/>
      </c>
      <c r="AA93" s="234" cm="1">
        <f t="array" ref="AA9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93" s="368">
        <f>IF(AND(tblFuturePathway[[#This Row],[Spare Capacity (%)]]&gt;30%,tblFuturePathway[[#This Row],[Share of the total Cost with the same year of provision %]]&gt;20%),(1-tblFuturePathway[[#This Row],[Spare Capacity (%)]]),1)</f>
        <v>1</v>
      </c>
      <c r="AC93" s="368">
        <f>IF(tblFuturePathway[[#This Row],[Terminal Value Analysis]]&lt;0,0,tblFuturePathway[[#This Row],[Terminal Value Analysis]])</f>
        <v>1</v>
      </c>
      <c r="AD93" s="75">
        <f>ROUND(Y93+M93-tblFuturePathway[[#This Row],[Grants and Subsidies ($)]],0)</f>
        <v>138702</v>
      </c>
      <c r="AE93" s="211">
        <f t="shared" si="37"/>
        <v>146872</v>
      </c>
      <c r="AF93" s="369">
        <f t="shared" si="38"/>
        <v>123631</v>
      </c>
      <c r="AG93" s="75">
        <f>tblFuturePathway[[#This Row],[Net Present Value of Establishment Cost]]*tblFuturePathway[[#This Row],[Terminal Value Adjustment (%)]]</f>
        <v>123631</v>
      </c>
      <c r="AH93" s="370">
        <f t="shared" si="39"/>
        <v>123631</v>
      </c>
      <c r="AI93" s="371">
        <f>tblFuturePathway[[#This Row],[Net Present Value of Establishment Cost]]*tblFuturePathway[[#This Row],[Terminal Value Adjustment (%)]]</f>
        <v>123631</v>
      </c>
    </row>
    <row r="94" spans="1:35">
      <c r="A94" s="191"/>
      <c r="B94" s="112" t="s">
        <v>2179</v>
      </c>
      <c r="C94" s="114" t="s">
        <v>2413</v>
      </c>
      <c r="D94" s="111" t="s">
        <v>2224</v>
      </c>
      <c r="E94" s="111" t="s">
        <v>113</v>
      </c>
      <c r="F94" s="111" t="s">
        <v>2364</v>
      </c>
      <c r="G94" s="113"/>
      <c r="H94" s="275">
        <v>824</v>
      </c>
      <c r="I94" s="276" t="s">
        <v>2224</v>
      </c>
      <c r="J94" s="112"/>
      <c r="K94" s="206">
        <v>5668</v>
      </c>
      <c r="L94" s="373">
        <f>IF(tblFuturePathway[[#This Row],[Size of Land (m2)]]=0,0,tblFuturePathway[[#This Row],[Land Value]]/tblFuturePathway[[#This Row],[Size of Land (m2)]])</f>
        <v>2.9664784756527878</v>
      </c>
      <c r="M94" s="195">
        <v>16814</v>
      </c>
      <c r="N94" s="195">
        <f>tblFuturePathway[[#This Row],[Direct Construction Cost]]/tblFuturePathway[[#This Row],[Length (m)]]</f>
        <v>736.04368932038835</v>
      </c>
      <c r="O94" s="72">
        <v>606500</v>
      </c>
      <c r="P94" s="111">
        <v>2021</v>
      </c>
      <c r="Q94" s="76">
        <v>0.01</v>
      </c>
      <c r="R94" s="206"/>
      <c r="S94" s="365">
        <f t="shared" si="32"/>
        <v>139495</v>
      </c>
      <c r="T94" s="366">
        <f t="shared" si="33"/>
        <v>7.4999999999999997E-2</v>
      </c>
      <c r="U94" s="365">
        <f t="shared" si="34"/>
        <v>55950</v>
      </c>
      <c r="V94" s="273">
        <v>0</v>
      </c>
      <c r="W94" s="261">
        <v>2024</v>
      </c>
      <c r="X94" s="367">
        <f t="shared" si="35"/>
        <v>1.0556146069383956</v>
      </c>
      <c r="Y94" s="146">
        <f t="shared" si="36"/>
        <v>801945</v>
      </c>
      <c r="Z94" s="235" t="str">
        <f>IFERROR(IF(tblFuturePathway[[#This Row],[Year of Provision]]&gt;2024,VLOOKUP(tblFuturePathway[[#This Row],[Service Catchment]],'Catchment Demand - Pathway'!C$8:M$8,11,FALSE),""),"")</f>
        <v/>
      </c>
      <c r="AA94" s="234" cm="1">
        <f t="array" ref="AA94">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94" s="368">
        <f>IF(AND(tblFuturePathway[[#This Row],[Spare Capacity (%)]]&gt;30%,tblFuturePathway[[#This Row],[Share of the total Cost with the same year of provision %]]&gt;20%),(1-tblFuturePathway[[#This Row],[Spare Capacity (%)]]),1)</f>
        <v>1</v>
      </c>
      <c r="AC94" s="368">
        <f>IF(tblFuturePathway[[#This Row],[Terminal Value Analysis]]&lt;0,0,tblFuturePathway[[#This Row],[Terminal Value Analysis]])</f>
        <v>1</v>
      </c>
      <c r="AD94" s="75">
        <f>ROUND(Y94+M94-tblFuturePathway[[#This Row],[Grants and Subsidies ($)]],0)</f>
        <v>818759</v>
      </c>
      <c r="AE94" s="211">
        <f t="shared" si="37"/>
        <v>864394</v>
      </c>
      <c r="AF94" s="369">
        <f t="shared" si="38"/>
        <v>727614</v>
      </c>
      <c r="AG94" s="75">
        <f>tblFuturePathway[[#This Row],[Net Present Value of Establishment Cost]]*tblFuturePathway[[#This Row],[Terminal Value Adjustment (%)]]</f>
        <v>727614</v>
      </c>
      <c r="AH94" s="370">
        <f t="shared" si="39"/>
        <v>727614</v>
      </c>
      <c r="AI94" s="371">
        <f>tblFuturePathway[[#This Row],[Net Present Value of Establishment Cost]]*tblFuturePathway[[#This Row],[Terminal Value Adjustment (%)]]</f>
        <v>727614</v>
      </c>
    </row>
    <row r="95" spans="1:35">
      <c r="A95" s="191"/>
      <c r="B95" s="112" t="s">
        <v>2359</v>
      </c>
      <c r="C95" s="114" t="s">
        <v>2414</v>
      </c>
      <c r="D95" s="111" t="s">
        <v>2224</v>
      </c>
      <c r="E95" s="111" t="s">
        <v>113</v>
      </c>
      <c r="F95" s="111" t="s">
        <v>2367</v>
      </c>
      <c r="G95" s="113"/>
      <c r="H95" s="275">
        <v>108</v>
      </c>
      <c r="I95" s="276" t="s">
        <v>2224</v>
      </c>
      <c r="J95" s="112"/>
      <c r="K95" s="206">
        <v>340</v>
      </c>
      <c r="L95" s="373">
        <f>IF(tblFuturePathway[[#This Row],[Size of Land (m2)]]=0,0,tblFuturePathway[[#This Row],[Land Value]]/tblFuturePathway[[#This Row],[Size of Land (m2)]])</f>
        <v>182.90294117647059</v>
      </c>
      <c r="M95" s="195">
        <v>62187</v>
      </c>
      <c r="N95" s="195">
        <f>tblFuturePathway[[#This Row],[Direct Construction Cost]]/tblFuturePathway[[#This Row],[Length (m)]]</f>
        <v>815.62037037037032</v>
      </c>
      <c r="O95" s="72">
        <v>88087</v>
      </c>
      <c r="P95" s="111">
        <v>2021</v>
      </c>
      <c r="Q95" s="76">
        <v>0.01</v>
      </c>
      <c r="R95" s="206"/>
      <c r="S95" s="365">
        <f t="shared" si="32"/>
        <v>20260</v>
      </c>
      <c r="T95" s="366">
        <f t="shared" si="33"/>
        <v>0.15</v>
      </c>
      <c r="U95" s="365">
        <f t="shared" si="34"/>
        <v>16252</v>
      </c>
      <c r="V95" s="273">
        <v>0</v>
      </c>
      <c r="W95" s="261">
        <v>2029</v>
      </c>
      <c r="X95" s="367">
        <f t="shared" si="35"/>
        <v>1.1552634751694639</v>
      </c>
      <c r="Y95" s="146">
        <f t="shared" si="36"/>
        <v>124599</v>
      </c>
      <c r="Z95" s="235">
        <f>IFERROR(IF(tblFuturePathway[[#This Row],[Year of Provision]]&gt;2024,VLOOKUP(tblFuturePathway[[#This Row],[Service Catchment]],'Catchment Demand - Pathway'!C$8:M$8,11,FALSE),""),"")</f>
        <v>0.33960071153808458</v>
      </c>
      <c r="AA95" s="234" cm="1">
        <f t="array" ref="AA95">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5.7020030206984807E-4</v>
      </c>
      <c r="AB95" s="368">
        <f>IF(AND(tblFuturePathway[[#This Row],[Spare Capacity (%)]]&gt;30%,tblFuturePathway[[#This Row],[Share of the total Cost with the same year of provision %]]&gt;20%),(1-tblFuturePathway[[#This Row],[Spare Capacity (%)]]),1)</f>
        <v>1</v>
      </c>
      <c r="AC95" s="368">
        <f>IF(tblFuturePathway[[#This Row],[Terminal Value Analysis]]&lt;0,0,tblFuturePathway[[#This Row],[Terminal Value Analysis]])</f>
        <v>1</v>
      </c>
      <c r="AD95" s="75">
        <f>ROUND(Y95+M95-tblFuturePathway[[#This Row],[Grants and Subsidies ($)]],0)</f>
        <v>186786</v>
      </c>
      <c r="AE95" s="211">
        <f t="shared" si="37"/>
        <v>216871</v>
      </c>
      <c r="AF95" s="369">
        <f t="shared" si="38"/>
        <v>136995</v>
      </c>
      <c r="AG95" s="75">
        <f>tblFuturePathway[[#This Row],[Net Present Value of Establishment Cost]]*tblFuturePathway[[#This Row],[Terminal Value Adjustment (%)]]</f>
        <v>136995</v>
      </c>
      <c r="AH95" s="370">
        <f t="shared" si="39"/>
        <v>136995</v>
      </c>
      <c r="AI95" s="371">
        <f>tblFuturePathway[[#This Row],[Net Present Value of Establishment Cost]]*tblFuturePathway[[#This Row],[Terminal Value Adjustment (%)]]</f>
        <v>136995</v>
      </c>
    </row>
    <row r="96" spans="1:35">
      <c r="A96" s="191"/>
      <c r="B96" s="112" t="s">
        <v>2368</v>
      </c>
      <c r="C96" s="114" t="s">
        <v>2415</v>
      </c>
      <c r="D96" s="111" t="s">
        <v>2224</v>
      </c>
      <c r="E96" s="111" t="s">
        <v>113</v>
      </c>
      <c r="F96" s="111" t="s">
        <v>2369</v>
      </c>
      <c r="G96" s="113"/>
      <c r="H96" s="275">
        <v>221</v>
      </c>
      <c r="I96" s="276" t="s">
        <v>2224</v>
      </c>
      <c r="J96" s="112"/>
      <c r="K96" s="206">
        <v>1566</v>
      </c>
      <c r="L96" s="373">
        <f>IF(tblFuturePathway[[#This Row],[Size of Land (m2)]]=0,0,tblFuturePathway[[#This Row],[Land Value]]/tblFuturePathway[[#This Row],[Size of Land (m2)]])</f>
        <v>194.11685823754789</v>
      </c>
      <c r="M96" s="195">
        <v>303987</v>
      </c>
      <c r="N96" s="195">
        <f>tblFuturePathway[[#This Row],[Direct Construction Cost]]/tblFuturePathway[[#This Row],[Length (m)]]</f>
        <v>815.61538461538464</v>
      </c>
      <c r="O96" s="72">
        <v>180251</v>
      </c>
      <c r="P96" s="111">
        <v>2021</v>
      </c>
      <c r="Q96" s="76">
        <v>0.01</v>
      </c>
      <c r="R96" s="206"/>
      <c r="S96" s="365">
        <f t="shared" si="32"/>
        <v>41458</v>
      </c>
      <c r="T96" s="366">
        <f t="shared" si="33"/>
        <v>0.15</v>
      </c>
      <c r="U96" s="365">
        <f t="shared" si="34"/>
        <v>33256</v>
      </c>
      <c r="V96" s="273">
        <v>0</v>
      </c>
      <c r="W96" s="261">
        <v>2029</v>
      </c>
      <c r="X96" s="367">
        <f t="shared" si="35"/>
        <v>1.1552634751694639</v>
      </c>
      <c r="Y96" s="146">
        <f t="shared" si="36"/>
        <v>254965</v>
      </c>
      <c r="Z96" s="235">
        <f>IFERROR(IF(tblFuturePathway[[#This Row],[Year of Provision]]&gt;2024,VLOOKUP(tblFuturePathway[[#This Row],[Service Catchment]],'Catchment Demand - Pathway'!C$8:M$8,11,FALSE),""),"")</f>
        <v>0.33960071153808458</v>
      </c>
      <c r="AA96" s="234" cm="1">
        <f t="array" ref="AA96">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1.7117122130503243E-3</v>
      </c>
      <c r="AB96" s="368">
        <f>IF(AND(tblFuturePathway[[#This Row],[Spare Capacity (%)]]&gt;30%,tblFuturePathway[[#This Row],[Share of the total Cost with the same year of provision %]]&gt;20%),(1-tblFuturePathway[[#This Row],[Spare Capacity (%)]]),1)</f>
        <v>1</v>
      </c>
      <c r="AC96" s="368">
        <f>IF(tblFuturePathway[[#This Row],[Terminal Value Analysis]]&lt;0,0,tblFuturePathway[[#This Row],[Terminal Value Analysis]])</f>
        <v>1</v>
      </c>
      <c r="AD96" s="75">
        <f>ROUND(Y96+M96-tblFuturePathway[[#This Row],[Grants and Subsidies ($)]],0)</f>
        <v>558952</v>
      </c>
      <c r="AE96" s="211">
        <f t="shared" si="37"/>
        <v>651034</v>
      </c>
      <c r="AF96" s="369">
        <f t="shared" si="38"/>
        <v>411252</v>
      </c>
      <c r="AG96" s="75">
        <f>tblFuturePathway[[#This Row],[Net Present Value of Establishment Cost]]*tblFuturePathway[[#This Row],[Terminal Value Adjustment (%)]]</f>
        <v>411252</v>
      </c>
      <c r="AH96" s="370">
        <f t="shared" si="39"/>
        <v>411252</v>
      </c>
      <c r="AI96" s="371">
        <f>tblFuturePathway[[#This Row],[Net Present Value of Establishment Cost]]*tblFuturePathway[[#This Row],[Terminal Value Adjustment (%)]]</f>
        <v>411252</v>
      </c>
    </row>
    <row r="97" spans="1:35">
      <c r="A97" s="191"/>
      <c r="B97" s="112" t="s">
        <v>2180</v>
      </c>
      <c r="C97" s="114" t="s">
        <v>2416</v>
      </c>
      <c r="D97" s="111" t="s">
        <v>2365</v>
      </c>
      <c r="E97" s="111" t="s">
        <v>113</v>
      </c>
      <c r="F97" s="111" t="s">
        <v>2370</v>
      </c>
      <c r="G97" s="113"/>
      <c r="H97" s="275">
        <v>282</v>
      </c>
      <c r="I97" s="276" t="s">
        <v>2365</v>
      </c>
      <c r="J97" s="112"/>
      <c r="K97" s="206">
        <v>0</v>
      </c>
      <c r="L97" s="373">
        <f>IF(tblFuturePathway[[#This Row],[Size of Land (m2)]]=0,0,tblFuturePathway[[#This Row],[Land Value]]/tblFuturePathway[[#This Row],[Size of Land (m2)]])</f>
        <v>0</v>
      </c>
      <c r="M97" s="195">
        <v>14197440</v>
      </c>
      <c r="N97" s="195">
        <f>tblFuturePathway[[#This Row],[Direct Construction Cost]]/tblFuturePathway[[#This Row],[Length (m)]]</f>
        <v>425909.57092198584</v>
      </c>
      <c r="O97" s="72">
        <v>120106499</v>
      </c>
      <c r="P97" s="111">
        <v>2021</v>
      </c>
      <c r="Q97" s="76">
        <v>0.01</v>
      </c>
      <c r="R97" s="206"/>
      <c r="S97" s="365">
        <f t="shared" si="32"/>
        <v>27624495</v>
      </c>
      <c r="T97" s="366">
        <f t="shared" si="33"/>
        <v>0.15</v>
      </c>
      <c r="U97" s="365">
        <f t="shared" si="34"/>
        <v>22159649</v>
      </c>
      <c r="V97" s="273">
        <v>0</v>
      </c>
      <c r="W97" s="261">
        <v>2029</v>
      </c>
      <c r="X97" s="367">
        <f t="shared" si="35"/>
        <v>1.1552634751694639</v>
      </c>
      <c r="Y97" s="146">
        <f t="shared" si="36"/>
        <v>169890643</v>
      </c>
      <c r="Z97" s="235">
        <f>IFERROR(IF(tblFuturePathway[[#This Row],[Year of Provision]]&gt;2024,VLOOKUP(tblFuturePathway[[#This Row],[Service Catchment]],'Catchment Demand - Pathway'!C$8:M$8,11,FALSE),""),"")</f>
        <v>0.33960071153808458</v>
      </c>
      <c r="AA97" s="234" cm="1">
        <f t="array" ref="AA97">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0.55980732719729076</v>
      </c>
      <c r="AB97" s="368">
        <f>IF(AND(tblFuturePathway[[#This Row],[Spare Capacity (%)]]&gt;30%,tblFuturePathway[[#This Row],[Share of the total Cost with the same year of provision %]]&gt;20%),(1-tblFuturePathway[[#This Row],[Spare Capacity (%)]]),1)</f>
        <v>0.66039928846191542</v>
      </c>
      <c r="AC97" s="368">
        <f>IF(tblFuturePathway[[#This Row],[Terminal Value Analysis]]&lt;0,0,tblFuturePathway[[#This Row],[Terminal Value Analysis]])</f>
        <v>0.66039928846191542</v>
      </c>
      <c r="AD97" s="75">
        <f>ROUND(Y97+M97-tblFuturePathway[[#This Row],[Grants and Subsidies ($)]],0)</f>
        <v>184088083</v>
      </c>
      <c r="AE97" s="211">
        <f t="shared" si="37"/>
        <v>212917617</v>
      </c>
      <c r="AF97" s="369">
        <f t="shared" si="38"/>
        <v>134498008</v>
      </c>
      <c r="AG97" s="75">
        <f>tblFuturePathway[[#This Row],[Net Present Value of Establishment Cost]]*tblFuturePathway[[#This Row],[Terminal Value Adjustment (%)]]</f>
        <v>88822388.782745004</v>
      </c>
      <c r="AH97" s="370">
        <f t="shared" si="39"/>
        <v>134498008</v>
      </c>
      <c r="AI97" s="371">
        <f>tblFuturePathway[[#This Row],[Net Present Value of Establishment Cost]]*tblFuturePathway[[#This Row],[Terminal Value Adjustment (%)]]</f>
        <v>88822388.782745004</v>
      </c>
    </row>
    <row r="98" spans="1:35">
      <c r="A98" s="191"/>
      <c r="B98" s="112" t="s">
        <v>2180</v>
      </c>
      <c r="C98" s="114" t="s">
        <v>2147</v>
      </c>
      <c r="D98" s="111" t="s">
        <v>2225</v>
      </c>
      <c r="E98" s="111" t="s">
        <v>113</v>
      </c>
      <c r="F98" s="111" t="s">
        <v>2220</v>
      </c>
      <c r="G98" s="113"/>
      <c r="H98" s="275">
        <v>457</v>
      </c>
      <c r="I98" s="276" t="s">
        <v>2225</v>
      </c>
      <c r="J98" s="112"/>
      <c r="K98" s="206">
        <v>1460</v>
      </c>
      <c r="L98" s="373">
        <f>IF(tblFuturePathway[[#This Row],[Size of Land (m2)]]=0,0,tblFuturePathway[[#This Row],[Land Value]]/tblFuturePathway[[#This Row],[Size of Land (m2)]])</f>
        <v>1468.563698630137</v>
      </c>
      <c r="M98" s="195">
        <v>2144103</v>
      </c>
      <c r="N98" s="195">
        <f>tblFuturePathway[[#This Row],[Direct Construction Cost]]/tblFuturePathway[[#This Row],[Length (m)]]</f>
        <v>736.04376367614884</v>
      </c>
      <c r="O98" s="72">
        <v>336372</v>
      </c>
      <c r="P98" s="111">
        <v>2021</v>
      </c>
      <c r="Q98" s="76">
        <v>0.01</v>
      </c>
      <c r="R98" s="206"/>
      <c r="S98" s="365">
        <f t="shared" si="32"/>
        <v>77366</v>
      </c>
      <c r="T98" s="366">
        <f t="shared" si="33"/>
        <v>7.4999999999999997E-2</v>
      </c>
      <c r="U98" s="365">
        <f t="shared" si="34"/>
        <v>31030</v>
      </c>
      <c r="V98" s="273">
        <v>0</v>
      </c>
      <c r="W98" s="261">
        <v>2024</v>
      </c>
      <c r="X98" s="367">
        <f t="shared" si="35"/>
        <v>1.0556146069383956</v>
      </c>
      <c r="Y98" s="146">
        <f t="shared" si="36"/>
        <v>444768</v>
      </c>
      <c r="Z98" s="235" t="str">
        <f>IFERROR(IF(tblFuturePathway[[#This Row],[Year of Provision]]&gt;2024,VLOOKUP(tblFuturePathway[[#This Row],[Service Catchment]],'Catchment Demand - Pathway'!C$8:M$8,11,FALSE),""),"")</f>
        <v/>
      </c>
      <c r="AA98" s="234" cm="1">
        <f t="array" ref="AA98">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98" s="368">
        <f>IF(AND(tblFuturePathway[[#This Row],[Spare Capacity (%)]]&gt;30%,tblFuturePathway[[#This Row],[Share of the total Cost with the same year of provision %]]&gt;20%),(1-tblFuturePathway[[#This Row],[Spare Capacity (%)]]),1)</f>
        <v>1</v>
      </c>
      <c r="AC98" s="368">
        <f>IF(tblFuturePathway[[#This Row],[Terminal Value Analysis]]&lt;0,0,tblFuturePathway[[#This Row],[Terminal Value Analysis]])</f>
        <v>1</v>
      </c>
      <c r="AD98" s="75">
        <f>ROUND(Y98+M98-tblFuturePathway[[#This Row],[Grants and Subsidies ($)]],0)</f>
        <v>2588871</v>
      </c>
      <c r="AE98" s="211">
        <f t="shared" si="37"/>
        <v>2745591</v>
      </c>
      <c r="AF98" s="369">
        <f t="shared" si="38"/>
        <v>2311133</v>
      </c>
      <c r="AG98" s="75">
        <f>tblFuturePathway[[#This Row],[Net Present Value of Establishment Cost]]*tblFuturePathway[[#This Row],[Terminal Value Adjustment (%)]]</f>
        <v>2311133</v>
      </c>
      <c r="AH98" s="370">
        <f t="shared" si="39"/>
        <v>2311133</v>
      </c>
      <c r="AI98" s="371">
        <f>tblFuturePathway[[#This Row],[Net Present Value of Establishment Cost]]*tblFuturePathway[[#This Row],[Terminal Value Adjustment (%)]]</f>
        <v>2311133</v>
      </c>
    </row>
    <row r="99" spans="1:35">
      <c r="A99" s="191"/>
      <c r="B99" s="112" t="s">
        <v>2152</v>
      </c>
      <c r="C99" s="114" t="s">
        <v>2148</v>
      </c>
      <c r="D99" s="111" t="s">
        <v>2226</v>
      </c>
      <c r="E99" s="111" t="s">
        <v>113</v>
      </c>
      <c r="F99" s="111" t="s">
        <v>2221</v>
      </c>
      <c r="G99" s="113"/>
      <c r="H99" s="275">
        <v>220</v>
      </c>
      <c r="I99" s="276" t="s">
        <v>2226</v>
      </c>
      <c r="J99" s="112"/>
      <c r="K99" s="206">
        <v>0</v>
      </c>
      <c r="L99" s="373">
        <f>IF(tblFuturePathway[[#This Row],[Size of Land (m2)]]=0,0,tblFuturePathway[[#This Row],[Land Value]]/tblFuturePathway[[#This Row],[Size of Land (m2)]])</f>
        <v>0</v>
      </c>
      <c r="M99" s="195">
        <v>0</v>
      </c>
      <c r="N99" s="195">
        <f>tblFuturePathway[[#This Row],[Direct Construction Cost]]/tblFuturePathway[[#This Row],[Length (m)]]</f>
        <v>3148</v>
      </c>
      <c r="O99" s="72">
        <v>692560</v>
      </c>
      <c r="P99" s="111">
        <v>2021</v>
      </c>
      <c r="Q99" s="76">
        <v>0.01</v>
      </c>
      <c r="R99" s="206"/>
      <c r="S99" s="365">
        <f t="shared" si="32"/>
        <v>159289</v>
      </c>
      <c r="T99" s="366">
        <f t="shared" si="33"/>
        <v>7.4999999999999997E-2</v>
      </c>
      <c r="U99" s="365">
        <f t="shared" si="34"/>
        <v>63889</v>
      </c>
      <c r="V99" s="273">
        <v>0</v>
      </c>
      <c r="W99" s="261">
        <v>2024</v>
      </c>
      <c r="X99" s="367">
        <f t="shared" si="35"/>
        <v>1.0556146069383956</v>
      </c>
      <c r="Y99" s="146">
        <f t="shared" si="36"/>
        <v>915738</v>
      </c>
      <c r="Z99" s="235" t="str">
        <f>IFERROR(IF(tblFuturePathway[[#This Row],[Year of Provision]]&gt;2024,VLOOKUP(tblFuturePathway[[#This Row],[Service Catchment]],'Catchment Demand - Pathway'!C$8:M$8,11,FALSE),""),"")</f>
        <v/>
      </c>
      <c r="AA99" s="234" cm="1">
        <f t="array" ref="AA99">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0</v>
      </c>
      <c r="AB99" s="368">
        <f>IF(AND(tblFuturePathway[[#This Row],[Spare Capacity (%)]]&gt;30%,tblFuturePathway[[#This Row],[Share of the total Cost with the same year of provision %]]&gt;20%),(1-tblFuturePathway[[#This Row],[Spare Capacity (%)]]),1)</f>
        <v>1</v>
      </c>
      <c r="AC99" s="368">
        <f>IF(tblFuturePathway[[#This Row],[Terminal Value Analysis]]&lt;0,0,tblFuturePathway[[#This Row],[Terminal Value Analysis]])</f>
        <v>1</v>
      </c>
      <c r="AD99" s="75">
        <f>ROUND(Y99+M99-tblFuturePathway[[#This Row],[Grants and Subsidies ($)]],0)</f>
        <v>915738</v>
      </c>
      <c r="AE99" s="211">
        <f t="shared" si="37"/>
        <v>966666</v>
      </c>
      <c r="AF99" s="369">
        <f t="shared" si="38"/>
        <v>813702</v>
      </c>
      <c r="AG99" s="75">
        <f>tblFuturePathway[[#This Row],[Net Present Value of Establishment Cost]]*tblFuturePathway[[#This Row],[Terminal Value Adjustment (%)]]</f>
        <v>813702</v>
      </c>
      <c r="AH99" s="370">
        <f t="shared" si="39"/>
        <v>813702</v>
      </c>
      <c r="AI99" s="371">
        <f>tblFuturePathway[[#This Row],[Net Present Value of Establishment Cost]]*tblFuturePathway[[#This Row],[Terminal Value Adjustment (%)]]</f>
        <v>813702</v>
      </c>
    </row>
    <row r="100" spans="1:35">
      <c r="A100" s="191"/>
      <c r="B100" s="112" t="s">
        <v>2164</v>
      </c>
      <c r="C100" s="114" t="s">
        <v>2417</v>
      </c>
      <c r="D100" s="111" t="s">
        <v>2224</v>
      </c>
      <c r="E100" s="111" t="s">
        <v>113</v>
      </c>
      <c r="F100" s="111" t="s">
        <v>2371</v>
      </c>
      <c r="G100" s="113"/>
      <c r="H100" s="275">
        <v>527</v>
      </c>
      <c r="I100" s="276" t="s">
        <v>2224</v>
      </c>
      <c r="J100" s="112"/>
      <c r="K100" s="206">
        <v>3735</v>
      </c>
      <c r="L100" s="373">
        <f>IF(tblFuturePathway[[#This Row],[Size of Land (m2)]]=0,0,tblFuturePathway[[#This Row],[Land Value]]/tblFuturePathway[[#This Row],[Size of Land (m2)]])</f>
        <v>10.943239625167337</v>
      </c>
      <c r="M100" s="195">
        <v>40873</v>
      </c>
      <c r="N100" s="195">
        <f>tblFuturePathway[[#This Row],[Direct Construction Cost]]/tblFuturePathway[[#This Row],[Length (m)]]</f>
        <v>736.04364326375708</v>
      </c>
      <c r="O100" s="72">
        <v>387895</v>
      </c>
      <c r="P100" s="111">
        <v>2021</v>
      </c>
      <c r="Q100" s="76">
        <v>0.01</v>
      </c>
      <c r="R100" s="206"/>
      <c r="S100" s="365">
        <f t="shared" si="32"/>
        <v>89216</v>
      </c>
      <c r="T100" s="366">
        <f t="shared" si="33"/>
        <v>0.15</v>
      </c>
      <c r="U100" s="365">
        <f t="shared" si="34"/>
        <v>71567</v>
      </c>
      <c r="V100" s="273">
        <v>0</v>
      </c>
      <c r="W100" s="261">
        <v>2029</v>
      </c>
      <c r="X100" s="367">
        <f t="shared" si="35"/>
        <v>1.1552634751694639</v>
      </c>
      <c r="Y100" s="146">
        <f t="shared" si="36"/>
        <v>548678</v>
      </c>
      <c r="Z100" s="235">
        <f>IFERROR(IF(tblFuturePathway[[#This Row],[Year of Provision]]&gt;2024,VLOOKUP(tblFuturePathway[[#This Row],[Service Catchment]],'Catchment Demand - Pathway'!C$8:M$8,11,FALSE),""),"")</f>
        <v>0.33960071153808458</v>
      </c>
      <c r="AA100" s="234" cm="1">
        <f t="array" ref="AA100">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1.7926003671466448E-3</v>
      </c>
      <c r="AB100" s="368">
        <f>IF(AND(tblFuturePathway[[#This Row],[Spare Capacity (%)]]&gt;30%,tblFuturePathway[[#This Row],[Share of the total Cost with the same year of provision %]]&gt;20%),(1-tblFuturePathway[[#This Row],[Spare Capacity (%)]]),1)</f>
        <v>1</v>
      </c>
      <c r="AC100" s="368">
        <f>IF(tblFuturePathway[[#This Row],[Terminal Value Analysis]]&lt;0,0,tblFuturePathway[[#This Row],[Terminal Value Analysis]])</f>
        <v>1</v>
      </c>
      <c r="AD100" s="75">
        <f>ROUND(Y100+M100-tblFuturePathway[[#This Row],[Grants and Subsidies ($)]],0)</f>
        <v>589551</v>
      </c>
      <c r="AE100" s="211">
        <f t="shared" si="37"/>
        <v>681799</v>
      </c>
      <c r="AF100" s="369">
        <f t="shared" si="38"/>
        <v>430686</v>
      </c>
      <c r="AG100" s="75">
        <f>tblFuturePathway[[#This Row],[Net Present Value of Establishment Cost]]*tblFuturePathway[[#This Row],[Terminal Value Adjustment (%)]]</f>
        <v>430686</v>
      </c>
      <c r="AH100" s="370">
        <f t="shared" si="39"/>
        <v>430686</v>
      </c>
      <c r="AI100" s="371">
        <f>tblFuturePathway[[#This Row],[Net Present Value of Establishment Cost]]*tblFuturePathway[[#This Row],[Terminal Value Adjustment (%)]]</f>
        <v>430686</v>
      </c>
    </row>
    <row r="101" spans="1:35">
      <c r="A101" s="191"/>
      <c r="B101" s="112" t="s">
        <v>2164</v>
      </c>
      <c r="C101" s="114" t="s">
        <v>2418</v>
      </c>
      <c r="D101" s="111" t="s">
        <v>2224</v>
      </c>
      <c r="E101" s="111" t="s">
        <v>113</v>
      </c>
      <c r="F101" s="111" t="s">
        <v>2372</v>
      </c>
      <c r="G101" s="113"/>
      <c r="H101" s="275">
        <v>129</v>
      </c>
      <c r="I101" s="276" t="s">
        <v>2224</v>
      </c>
      <c r="J101" s="112"/>
      <c r="K101" s="206">
        <v>911</v>
      </c>
      <c r="L101" s="373">
        <f>IF(tblFuturePathway[[#This Row],[Size of Land (m2)]]=0,0,tblFuturePathway[[#This Row],[Land Value]]/tblFuturePathway[[#This Row],[Size of Land (m2)]])</f>
        <v>0</v>
      </c>
      <c r="M101" s="195">
        <v>0</v>
      </c>
      <c r="N101" s="195">
        <f>tblFuturePathway[[#This Row],[Direct Construction Cost]]/tblFuturePathway[[#This Row],[Length (m)]]</f>
        <v>815.62015503875966</v>
      </c>
      <c r="O101" s="72">
        <v>105215</v>
      </c>
      <c r="P101" s="111">
        <v>2021</v>
      </c>
      <c r="Q101" s="76">
        <v>0.01</v>
      </c>
      <c r="R101" s="206"/>
      <c r="S101" s="365">
        <f t="shared" si="32"/>
        <v>24199</v>
      </c>
      <c r="T101" s="366">
        <f t="shared" si="33"/>
        <v>0.15</v>
      </c>
      <c r="U101" s="365">
        <f t="shared" si="34"/>
        <v>19412</v>
      </c>
      <c r="V101" s="273">
        <v>0</v>
      </c>
      <c r="W101" s="261">
        <v>2029</v>
      </c>
      <c r="X101" s="367">
        <f t="shared" si="35"/>
        <v>1.1552634751694639</v>
      </c>
      <c r="Y101" s="146">
        <f t="shared" si="36"/>
        <v>148826</v>
      </c>
      <c r="Z101" s="235">
        <f>IFERROR(IF(tblFuturePathway[[#This Row],[Year of Provision]]&gt;2024,VLOOKUP(tblFuturePathway[[#This Row],[Service Catchment]],'Catchment Demand - Pathway'!C$8:M$8,11,FALSE),""),"")</f>
        <v>0.33960071153808458</v>
      </c>
      <c r="AA101" s="234" cm="1">
        <f t="array" ref="AA101">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4.5204799012520211E-4</v>
      </c>
      <c r="AB101" s="368">
        <f>IF(AND(tblFuturePathway[[#This Row],[Spare Capacity (%)]]&gt;30%,tblFuturePathway[[#This Row],[Share of the total Cost with the same year of provision %]]&gt;20%),(1-tblFuturePathway[[#This Row],[Spare Capacity (%)]]),1)</f>
        <v>1</v>
      </c>
      <c r="AC101" s="368">
        <f>IF(tblFuturePathway[[#This Row],[Terminal Value Analysis]]&lt;0,0,tblFuturePathway[[#This Row],[Terminal Value Analysis]])</f>
        <v>1</v>
      </c>
      <c r="AD101" s="75">
        <f>ROUND(Y101+M101-tblFuturePathway[[#This Row],[Grants and Subsidies ($)]],0)</f>
        <v>148826</v>
      </c>
      <c r="AE101" s="211">
        <f t="shared" si="37"/>
        <v>171933</v>
      </c>
      <c r="AF101" s="369">
        <f t="shared" si="38"/>
        <v>108608</v>
      </c>
      <c r="AG101" s="75">
        <f>tblFuturePathway[[#This Row],[Net Present Value of Establishment Cost]]*tblFuturePathway[[#This Row],[Terminal Value Adjustment (%)]]</f>
        <v>108608</v>
      </c>
      <c r="AH101" s="370">
        <f t="shared" si="39"/>
        <v>108608</v>
      </c>
      <c r="AI101" s="371">
        <f>tblFuturePathway[[#This Row],[Net Present Value of Establishment Cost]]*tblFuturePathway[[#This Row],[Terminal Value Adjustment (%)]]</f>
        <v>108608</v>
      </c>
    </row>
    <row r="102" spans="1:35">
      <c r="A102" s="191"/>
      <c r="B102" s="112" t="s">
        <v>2174</v>
      </c>
      <c r="C102" s="114" t="s">
        <v>2419</v>
      </c>
      <c r="D102" s="111" t="s">
        <v>2224</v>
      </c>
      <c r="E102" s="111" t="s">
        <v>113</v>
      </c>
      <c r="F102" s="111" t="s">
        <v>2373</v>
      </c>
      <c r="G102" s="113"/>
      <c r="H102" s="275">
        <v>213</v>
      </c>
      <c r="I102" s="276" t="s">
        <v>2224</v>
      </c>
      <c r="J102" s="112"/>
      <c r="K102" s="206">
        <v>1181</v>
      </c>
      <c r="L102" s="373">
        <f>IF(tblFuturePathway[[#This Row],[Size of Land (m2)]]=0,0,tblFuturePathway[[#This Row],[Land Value]]/tblFuturePathway[[#This Row],[Size of Land (m2)]])</f>
        <v>9.9602032176121931</v>
      </c>
      <c r="M102" s="195">
        <v>11763</v>
      </c>
      <c r="N102" s="195">
        <f>tblFuturePathway[[#This Row],[Direct Construction Cost]]/tblFuturePathway[[#This Row],[Length (m)]]</f>
        <v>815.61502347417843</v>
      </c>
      <c r="O102" s="72">
        <v>173726</v>
      </c>
      <c r="P102" s="111">
        <v>2021</v>
      </c>
      <c r="Q102" s="76">
        <v>0.01</v>
      </c>
      <c r="R102" s="206"/>
      <c r="S102" s="365">
        <f t="shared" si="32"/>
        <v>39957</v>
      </c>
      <c r="T102" s="366">
        <f t="shared" si="33"/>
        <v>0.15</v>
      </c>
      <c r="U102" s="365">
        <f t="shared" si="34"/>
        <v>32052</v>
      </c>
      <c r="V102" s="273">
        <v>0</v>
      </c>
      <c r="W102" s="261">
        <v>2029</v>
      </c>
      <c r="X102" s="367">
        <f t="shared" si="35"/>
        <v>1.1552634751694639</v>
      </c>
      <c r="Y102" s="146">
        <f t="shared" si="36"/>
        <v>245735</v>
      </c>
      <c r="Z102" s="235">
        <f>IFERROR(IF(tblFuturePathway[[#This Row],[Year of Provision]]&gt;2024,VLOOKUP(tblFuturePathway[[#This Row],[Service Catchment]],'Catchment Demand - Pathway'!C$8:M$8,11,FALSE),""),"")</f>
        <v>0.33960071153808458</v>
      </c>
      <c r="AA102" s="234" cm="1">
        <f t="array" ref="AA102">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7.8267218075200157E-4</v>
      </c>
      <c r="AB102" s="368">
        <f>IF(AND(tblFuturePathway[[#This Row],[Spare Capacity (%)]]&gt;30%,tblFuturePathway[[#This Row],[Share of the total Cost with the same year of provision %]]&gt;20%),(1-tblFuturePathway[[#This Row],[Spare Capacity (%)]]),1)</f>
        <v>1</v>
      </c>
      <c r="AC102" s="368">
        <f>IF(tblFuturePathway[[#This Row],[Terminal Value Analysis]]&lt;0,0,tblFuturePathway[[#This Row],[Terminal Value Analysis]])</f>
        <v>1</v>
      </c>
      <c r="AD102" s="75">
        <f>ROUND(Y102+M102-tblFuturePathway[[#This Row],[Grants and Subsidies ($)]],0)</f>
        <v>257498</v>
      </c>
      <c r="AE102" s="211">
        <f t="shared" si="37"/>
        <v>297683</v>
      </c>
      <c r="AF102" s="369">
        <f t="shared" si="38"/>
        <v>188043</v>
      </c>
      <c r="AG102" s="75">
        <f>tblFuturePathway[[#This Row],[Net Present Value of Establishment Cost]]*tblFuturePathway[[#This Row],[Terminal Value Adjustment (%)]]</f>
        <v>188043</v>
      </c>
      <c r="AH102" s="370">
        <f t="shared" si="39"/>
        <v>188043</v>
      </c>
      <c r="AI102" s="371">
        <f>tblFuturePathway[[#This Row],[Net Present Value of Establishment Cost]]*tblFuturePathway[[#This Row],[Terminal Value Adjustment (%)]]</f>
        <v>188043</v>
      </c>
    </row>
    <row r="103" spans="1:35" ht="14.4" thickBot="1">
      <c r="A103" s="191"/>
      <c r="B103" s="250" t="s">
        <v>2152</v>
      </c>
      <c r="C103" s="249" t="s">
        <v>2150</v>
      </c>
      <c r="D103" s="249" t="s">
        <v>2225</v>
      </c>
      <c r="E103" s="249" t="s">
        <v>113</v>
      </c>
      <c r="F103" s="375" t="s">
        <v>2223</v>
      </c>
      <c r="G103" s="255"/>
      <c r="H103" s="277">
        <v>183</v>
      </c>
      <c r="I103" s="278" t="s">
        <v>2225</v>
      </c>
      <c r="J103" s="150"/>
      <c r="K103" s="209">
        <v>79</v>
      </c>
      <c r="L103" s="374">
        <f>IF(tblFuturePathway[[#This Row],[Size of Land (m2)]]=0,0,tblFuturePathway[[#This Row],[Land Value]]/tblFuturePathway[[#This Row],[Size of Land (m2)]])</f>
        <v>425.75949367088606</v>
      </c>
      <c r="M103" s="208">
        <v>33635</v>
      </c>
      <c r="N103" s="218">
        <f>tblFuturePathway[[#This Row],[Direct Construction Cost]]/tblFuturePathway[[#This Row],[Length (m)]]</f>
        <v>815.61748633879779</v>
      </c>
      <c r="O103" s="151">
        <v>149258</v>
      </c>
      <c r="P103" s="249">
        <v>2021</v>
      </c>
      <c r="Q103" s="252">
        <v>0.01</v>
      </c>
      <c r="R103" s="254"/>
      <c r="S103" s="376">
        <f t="shared" si="32"/>
        <v>34329</v>
      </c>
      <c r="T103" s="377">
        <f t="shared" si="33"/>
        <v>0.15</v>
      </c>
      <c r="U103" s="376">
        <f t="shared" si="34"/>
        <v>27538</v>
      </c>
      <c r="V103" s="274">
        <v>0</v>
      </c>
      <c r="W103" s="262">
        <v>2029</v>
      </c>
      <c r="X103" s="378">
        <f t="shared" si="35"/>
        <v>1.1552634751694639</v>
      </c>
      <c r="Y103" s="199">
        <f t="shared" si="36"/>
        <v>211125</v>
      </c>
      <c r="Z103" s="200">
        <f>IFERROR(IF(tblFuturePathway[[#This Row],[Year of Provision]]&gt;2024,VLOOKUP(tblFuturePathway[[#This Row],[Service Catchment]],'Catchment Demand - Pathway'!C$8:M$8,11,FALSE),""),"")</f>
        <v>0.33960071153808458</v>
      </c>
      <c r="AA103" s="200" cm="1">
        <f t="array" ref="AA103">_xlfn.IFS(tblFuturePathway[[#This Row],[Year of Provision]]=2024,0,tblFuturePathway[[#This Row],[Year of Provision]]=2029,tblFuturePathway[[#This Row],[Net Present Value of Establishment Cost]]/SUMIFS($AF$17:$AF$103,$W$17:$W$103,"2029",$E$17:$E$103,tblFuturePathway[[#This Row],[Service Catchment]]),tblFuturePathway[[#This Row],[Year of Provision]]=2034,tblFuturePathway[[#This Row],[Net Present Value of Establishment Cost]]/SUMIFS($AF$17:$AF$103,$W$17:$W$103,"2034",$E$17:$E$103,tblFuturePathway[[#This Row],[Service Catchment]]))</f>
        <v>7.4498347871731064E-4</v>
      </c>
      <c r="AB103" s="379">
        <f>IF(AND(tblFuturePathway[[#This Row],[Spare Capacity (%)]]&gt;30%,tblFuturePathway[[#This Row],[Share of the total Cost with the same year of provision %]]&gt;20%),(1-tblFuturePathway[[#This Row],[Spare Capacity (%)]]),1)</f>
        <v>1</v>
      </c>
      <c r="AC103" s="379">
        <f>IF(tblFuturePathway[[#This Row],[Terminal Value Analysis]]&lt;0,0,tblFuturePathway[[#This Row],[Terminal Value Analysis]])</f>
        <v>1</v>
      </c>
      <c r="AD103" s="205">
        <f>ROUND(Y103+M103-tblFuturePathway[[#This Row],[Grants and Subsidies ($)]],0)</f>
        <v>244760</v>
      </c>
      <c r="AE103" s="380">
        <f t="shared" si="37"/>
        <v>283348</v>
      </c>
      <c r="AF103" s="279">
        <f t="shared" si="38"/>
        <v>178988</v>
      </c>
      <c r="AG103" s="152">
        <f>tblFuturePathway[[#This Row],[Net Present Value of Establishment Cost]]*tblFuturePathway[[#This Row],[Terminal Value Adjustment (%)]]</f>
        <v>178988</v>
      </c>
      <c r="AH103" s="381">
        <f t="shared" si="39"/>
        <v>178988</v>
      </c>
      <c r="AI103" s="382">
        <f>tblFuturePathway[[#This Row],[Net Present Value of Establishment Cost]]*tblFuturePathway[[#This Row],[Terminal Value Adjustment (%)]]</f>
        <v>178988</v>
      </c>
    </row>
    <row r="104" spans="1:35" ht="14.4" thickBot="1">
      <c r="B104" s="174"/>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93"/>
      <c r="AA104" s="194"/>
      <c r="AB104" s="194"/>
      <c r="AC104" s="193"/>
      <c r="AD104" s="196">
        <f>SUBTOTAL(109,AD16:AD103)</f>
        <v>718739763</v>
      </c>
      <c r="AE104" s="203">
        <f>SUBTOTAL(109,AE16:AE103)</f>
        <v>814365761</v>
      </c>
      <c r="AF104" s="196">
        <f>SUBTOTAL(109,AF16:AF103)</f>
        <v>603526350</v>
      </c>
      <c r="AG104" s="196">
        <f>SUBTOTAL(109,AG16:AG103)</f>
        <v>557082922.77961862</v>
      </c>
      <c r="AH104" s="196">
        <f>SUBTOTAL(109,AH16:AH103)</f>
        <v>603526350</v>
      </c>
      <c r="AI104" s="196">
        <f>SUM(AI17:AI103)</f>
        <v>557082922.77961862</v>
      </c>
    </row>
    <row r="109" spans="1:35">
      <c r="L109" s="46"/>
    </row>
    <row r="110" spans="1:35">
      <c r="L110" s="46"/>
    </row>
    <row r="111" spans="1:35">
      <c r="H111" s="46"/>
    </row>
    <row r="112" spans="1:35">
      <c r="H112" s="46"/>
      <c r="M112" s="466"/>
      <c r="Q112" s="48"/>
    </row>
    <row r="113" spans="8:17">
      <c r="M113" s="466"/>
    </row>
    <row r="115" spans="8:17">
      <c r="M115" s="467"/>
    </row>
    <row r="117" spans="8:17">
      <c r="H117" s="46"/>
    </row>
    <row r="118" spans="8:17">
      <c r="Q118" s="48"/>
    </row>
    <row r="120" spans="8:17">
      <c r="L120" s="46"/>
      <c r="M120" s="467"/>
    </row>
    <row r="122" spans="8:17">
      <c r="M122" s="467"/>
    </row>
    <row r="123" spans="8:17">
      <c r="M123" s="466"/>
    </row>
    <row r="126" spans="8:17">
      <c r="P126" s="467"/>
    </row>
  </sheetData>
  <sheetProtection selectLockedCells="1"/>
  <mergeCells count="14">
    <mergeCell ref="B2:D2"/>
    <mergeCell ref="B6:C6"/>
    <mergeCell ref="AH13:AI13"/>
    <mergeCell ref="AH14:AI14"/>
    <mergeCell ref="E8:W8"/>
    <mergeCell ref="E9:W9"/>
    <mergeCell ref="B8:D8"/>
    <mergeCell ref="W14:AG14"/>
    <mergeCell ref="AF13:AG13"/>
    <mergeCell ref="B11:C11"/>
    <mergeCell ref="B14:F14"/>
    <mergeCell ref="G14:I14"/>
    <mergeCell ref="J14:M14"/>
    <mergeCell ref="N14:V14"/>
  </mergeCells>
  <phoneticPr fontId="91" type="noConversion"/>
  <conditionalFormatting sqref="H17:H21">
    <cfRule type="expression" dxfId="11" priority="21">
      <formula>#REF!="Active"</formula>
    </cfRule>
  </conditionalFormatting>
  <conditionalFormatting sqref="H22">
    <cfRule type="expression" dxfId="10" priority="34">
      <formula>#REF!="Active"</formula>
    </cfRule>
  </conditionalFormatting>
  <conditionalFormatting sqref="H23:H102">
    <cfRule type="expression" dxfId="9" priority="1">
      <formula>#REF!="Active"</formula>
    </cfRule>
  </conditionalFormatting>
  <conditionalFormatting sqref="H103">
    <cfRule type="expression" dxfId="8" priority="14">
      <formula>#REF!="Active"</formula>
    </cfRule>
  </conditionalFormatting>
  <conditionalFormatting sqref="I17:I103">
    <cfRule type="expression" dxfId="7" priority="15">
      <formula>#REF!="Active"</formula>
    </cfRule>
  </conditionalFormatting>
  <dataValidations count="5">
    <dataValidation type="list" allowBlank="1" showInputMessage="1" showErrorMessage="1" sqref="D11" xr:uid="{00000000-0002-0000-0D00-000000000000}">
      <formula1>LANDRATETYPE</formula1>
    </dataValidation>
    <dataValidation type="list" allowBlank="1" showInputMessage="1" showErrorMessage="1" sqref="R17 R19:R103" xr:uid="{00000000-0002-0000-0D00-000005000000}">
      <formula1>roadssite</formula1>
    </dataValidation>
    <dataValidation type="list" allowBlank="1" showInputMessage="1" showErrorMessage="1" sqref="G74:G75 G77:G103 J17:J103 G17:G72" xr:uid="{00000000-0002-0000-0D00-000004000000}">
      <formula1>roadslandcode2</formula1>
    </dataValidation>
    <dataValidation type="list" allowBlank="1" showInputMessage="1" showErrorMessage="1" sqref="V17:V103 S17:S103" xr:uid="{00000000-0002-0000-0D00-000003000000}">
      <formula1>roadprojcost</formula1>
    </dataValidation>
    <dataValidation type="list" allowBlank="1" showInputMessage="1" showErrorMessage="1" sqref="AH17:AH103" xr:uid="{00000000-0002-0000-0D00-000001000000}">
      <formula1>Futurepick</formula1>
    </dataValidation>
  </dataValidations>
  <hyperlinks>
    <hyperlink ref="B5" location="'Navigation Pane'!A1" display="Return to Navigation Pane" xr:uid="{F472BEF0-02BC-43EB-A4C2-AEE9D31F3282}"/>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Active and Public Transport Network - &amp;A
&amp;"Arial,Bold"&amp;K000000Effective 27th June 2025&amp;R&amp;"Arial,Regular"&amp;10Page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7A273-0141-5941-9397-F18417884172}">
  <sheetPr codeName="Sheet5"/>
  <dimension ref="A1:AWM468"/>
  <sheetViews>
    <sheetView tabSelected="1" zoomScale="70" zoomScaleNormal="70" workbookViewId="0">
      <selection activeCell="D8" sqref="D8:P9"/>
    </sheetView>
  </sheetViews>
  <sheetFormatPr defaultColWidth="9" defaultRowHeight="13.8"/>
  <cols>
    <col min="1" max="1" width="4.796875" style="30" customWidth="1"/>
    <col min="2" max="2" width="39.69921875" style="1" bestFit="1" customWidth="1"/>
    <col min="3" max="3" width="12.09765625" style="1" bestFit="1" customWidth="1"/>
    <col min="4" max="4" width="32.296875" style="1" bestFit="1" customWidth="1"/>
    <col min="5" max="5" width="9.09765625" style="1" bestFit="1" customWidth="1"/>
    <col min="6" max="6" width="36" style="1" bestFit="1" customWidth="1"/>
    <col min="7" max="7" width="23.09765625" style="1" bestFit="1" customWidth="1"/>
    <col min="8" max="8" width="10.59765625" style="1" bestFit="1" customWidth="1"/>
    <col min="9" max="9" width="5.09765625" style="68" customWidth="1"/>
    <col min="10" max="10" width="5.296875" style="1" bestFit="1" customWidth="1"/>
    <col min="11" max="11" width="5.09765625" style="3" customWidth="1"/>
    <col min="12" max="12" width="5.296875" style="1" bestFit="1" customWidth="1"/>
    <col min="13" max="13" width="5.09765625" style="1" customWidth="1"/>
    <col min="14" max="14" width="5.296875" style="1" bestFit="1" customWidth="1"/>
    <col min="15" max="15" width="18.59765625" style="1" bestFit="1" customWidth="1"/>
    <col min="16" max="16" width="5.09765625" style="1" customWidth="1"/>
    <col min="17" max="17" width="5.296875" style="1" bestFit="1" customWidth="1"/>
    <col min="18" max="18" width="10.09765625" style="1" bestFit="1" customWidth="1"/>
    <col min="19" max="19" width="5.09765625" style="6" customWidth="1"/>
    <col min="20" max="20" width="5.59765625" style="52" bestFit="1" customWidth="1"/>
    <col min="21" max="21" width="7.59765625" style="1" bestFit="1" customWidth="1"/>
    <col min="22" max="22" width="13.796875" style="52" bestFit="1" customWidth="1"/>
    <col min="23" max="23" width="16.19921875" style="52" bestFit="1" customWidth="1"/>
    <col min="24" max="24" width="5.296875" style="52" bestFit="1" customWidth="1"/>
    <col min="25" max="25" width="17.09765625" style="1" customWidth="1"/>
    <col min="26" max="26" width="5.09765625" style="1" customWidth="1"/>
    <col min="27" max="28" width="8" style="57" bestFit="1" customWidth="1"/>
    <col min="29" max="29" width="14" style="6" bestFit="1" customWidth="1"/>
    <col min="30" max="30" width="22.5" style="6" bestFit="1" customWidth="1"/>
    <col min="31" max="31" width="10" style="6" bestFit="1" customWidth="1"/>
    <col min="32" max="32" width="8" style="6" bestFit="1" customWidth="1"/>
    <col min="33" max="33" width="20.59765625" style="6" bestFit="1" customWidth="1"/>
    <col min="34" max="34" width="20.296875" style="52" bestFit="1" customWidth="1"/>
    <col min="35" max="35" width="19.09765625" style="52" bestFit="1" customWidth="1"/>
    <col min="36" max="36" width="16.09765625" style="52" bestFit="1" customWidth="1"/>
    <col min="37" max="37" width="32.09765625" style="52" customWidth="1"/>
    <col min="38" max="38" width="3.796875" style="41" customWidth="1"/>
    <col min="39" max="39" width="16.59765625" style="6" bestFit="1" customWidth="1"/>
    <col min="40" max="40" width="15.09765625" style="6" bestFit="1" customWidth="1"/>
    <col min="41" max="41" width="3.796875" style="41" customWidth="1"/>
    <col min="42" max="42" width="16.59765625" style="1" bestFit="1" customWidth="1"/>
    <col min="43" max="43" width="4.5" style="30" customWidth="1"/>
    <col min="44" max="44" width="43.5" style="30" customWidth="1"/>
    <col min="45" max="59" width="9" style="30"/>
    <col min="60" max="60" width="9" style="30" customWidth="1"/>
    <col min="61" max="1287" width="9" style="30"/>
    <col min="1288" max="16384" width="9" style="1"/>
  </cols>
  <sheetData>
    <row r="1" spans="1:1287" s="30" customFormat="1" ht="14.4" thickBot="1">
      <c r="I1" s="69"/>
      <c r="K1" s="44"/>
      <c r="S1" s="41"/>
      <c r="T1" s="53"/>
      <c r="V1" s="53"/>
      <c r="W1" s="53"/>
      <c r="X1" s="53"/>
      <c r="AA1" s="58"/>
      <c r="AB1" s="58"/>
      <c r="AC1" s="41"/>
      <c r="AD1" s="41"/>
      <c r="AE1" s="41"/>
      <c r="AF1" s="41"/>
      <c r="AG1" s="41"/>
      <c r="AH1" s="53"/>
      <c r="AI1" s="53"/>
      <c r="AJ1" s="53"/>
      <c r="AK1" s="53"/>
      <c r="AL1" s="41"/>
      <c r="AM1" s="41"/>
      <c r="AN1" s="41"/>
      <c r="AO1" s="41"/>
    </row>
    <row r="2" spans="1:1287" s="30" customFormat="1" ht="25.2" thickBot="1">
      <c r="B2" s="588" t="str">
        <f>'Navigation Pane'!B2</f>
        <v>Brisbane City Council</v>
      </c>
      <c r="C2" s="589"/>
      <c r="D2" s="590"/>
      <c r="E2" s="104"/>
      <c r="F2" s="104"/>
      <c r="G2" s="104"/>
      <c r="H2" s="104"/>
      <c r="I2" s="104"/>
      <c r="J2" s="104"/>
      <c r="K2" s="104"/>
      <c r="L2" s="104"/>
      <c r="M2" s="104"/>
      <c r="N2" s="104"/>
      <c r="S2" s="54"/>
      <c r="T2" s="61"/>
      <c r="V2" s="61"/>
      <c r="W2" s="61"/>
      <c r="X2" s="61"/>
      <c r="AA2" s="60"/>
      <c r="AB2" s="60"/>
      <c r="AC2" s="54"/>
      <c r="AD2" s="54"/>
      <c r="AE2" s="54"/>
      <c r="AF2" s="54"/>
      <c r="AG2" s="54"/>
      <c r="AH2" s="61"/>
      <c r="AI2" s="61"/>
      <c r="AJ2" s="61"/>
      <c r="AK2" s="61"/>
      <c r="AL2" s="61"/>
      <c r="AM2" s="61"/>
      <c r="AN2" s="54"/>
      <c r="AO2" s="54"/>
    </row>
    <row r="3" spans="1:1287" s="30" customFormat="1" ht="25.2" thickBot="1">
      <c r="B3" s="184"/>
      <c r="C3" s="184"/>
      <c r="D3" s="184"/>
      <c r="E3" s="104"/>
      <c r="F3" s="104"/>
      <c r="G3" s="104"/>
      <c r="H3" s="104"/>
      <c r="I3" s="104"/>
      <c r="J3" s="104"/>
      <c r="K3" s="104"/>
      <c r="L3" s="104"/>
      <c r="M3" s="104"/>
      <c r="N3" s="104"/>
      <c r="S3" s="54"/>
      <c r="T3" s="61"/>
      <c r="V3" s="61"/>
      <c r="W3" s="61"/>
      <c r="X3" s="61"/>
      <c r="AA3" s="60"/>
      <c r="AB3" s="60"/>
      <c r="AC3" s="54"/>
      <c r="AD3" s="54"/>
      <c r="AE3" s="54"/>
      <c r="AF3" s="54"/>
      <c r="AG3" s="54"/>
      <c r="AH3" s="61"/>
      <c r="AI3" s="61"/>
      <c r="AJ3" s="61"/>
      <c r="AK3" s="61"/>
      <c r="AL3" s="61"/>
      <c r="AM3" s="61"/>
      <c r="AN3" s="54"/>
      <c r="AO3" s="54"/>
    </row>
    <row r="4" spans="1:1287" s="30" customFormat="1" ht="25.5" customHeight="1" thickBot="1">
      <c r="B4" s="588" t="s">
        <v>88</v>
      </c>
      <c r="C4" s="590"/>
      <c r="D4" s="104"/>
      <c r="E4" s="104"/>
      <c r="F4" s="104"/>
      <c r="G4" s="104"/>
      <c r="H4" s="104"/>
      <c r="I4" s="104"/>
      <c r="J4" s="104"/>
      <c r="K4" s="104"/>
      <c r="L4" s="104"/>
      <c r="M4" s="104"/>
      <c r="N4" s="104"/>
      <c r="S4" s="54"/>
      <c r="T4" s="61"/>
      <c r="V4" s="61"/>
      <c r="W4" s="61"/>
      <c r="X4" s="61"/>
      <c r="AA4" s="60"/>
      <c r="AB4" s="60"/>
      <c r="AC4" s="54"/>
      <c r="AD4" s="54"/>
      <c r="AE4" s="54"/>
      <c r="AF4" s="54"/>
      <c r="AG4" s="54"/>
      <c r="AH4" s="61"/>
      <c r="AI4" s="61"/>
      <c r="AJ4" s="61"/>
      <c r="AK4" s="61"/>
      <c r="AL4" s="61"/>
      <c r="AM4" s="61"/>
      <c r="AN4" s="54"/>
      <c r="AO4" s="54"/>
    </row>
    <row r="5" spans="1:1287" s="30" customFormat="1" ht="24" thickBot="1">
      <c r="A5" s="413"/>
      <c r="B5" s="412" t="s">
        <v>47</v>
      </c>
      <c r="I5" s="69"/>
      <c r="K5" s="106"/>
      <c r="S5" s="41"/>
      <c r="T5" s="53"/>
      <c r="V5" s="53"/>
      <c r="W5" s="53"/>
      <c r="X5" s="53"/>
      <c r="Y5" s="103"/>
      <c r="AA5" s="58"/>
      <c r="AB5" s="58"/>
      <c r="AC5" s="41"/>
      <c r="AD5" s="41"/>
      <c r="AE5" s="41"/>
      <c r="AF5" s="41"/>
      <c r="AG5" s="41"/>
      <c r="AH5" s="53"/>
      <c r="AI5" s="53"/>
      <c r="AJ5" s="53"/>
      <c r="AK5" s="53"/>
      <c r="AL5" s="53"/>
      <c r="AM5" s="53"/>
      <c r="AN5" s="41"/>
      <c r="AO5" s="41"/>
    </row>
    <row r="6" spans="1:1287" s="30" customFormat="1" ht="21" customHeight="1" thickBot="1">
      <c r="B6" s="241" t="s">
        <v>2306</v>
      </c>
      <c r="C6" s="242"/>
      <c r="D6" s="243"/>
      <c r="E6" s="47"/>
      <c r="F6" s="47"/>
      <c r="G6" s="47"/>
      <c r="H6" s="47"/>
      <c r="I6" s="47"/>
      <c r="J6" s="47"/>
      <c r="K6" s="47"/>
      <c r="L6" s="47"/>
      <c r="M6" s="47"/>
      <c r="N6" s="47"/>
      <c r="S6" s="41"/>
      <c r="T6" s="53"/>
      <c r="V6" s="53"/>
      <c r="W6" s="53"/>
      <c r="X6" s="53"/>
      <c r="AA6" s="58"/>
      <c r="AB6" s="58"/>
      <c r="AC6" s="41"/>
      <c r="AD6" s="41"/>
      <c r="AE6" s="41"/>
      <c r="AF6" s="41"/>
      <c r="AG6" s="41"/>
      <c r="AH6" s="53"/>
      <c r="AI6" s="53"/>
      <c r="AJ6" s="53"/>
      <c r="AK6" s="53"/>
      <c r="AL6" s="53"/>
      <c r="AM6" s="53"/>
      <c r="AN6" s="41"/>
      <c r="AO6" s="41"/>
    </row>
    <row r="7" spans="1:1287" s="30" customFormat="1" ht="21" customHeight="1" thickBot="1">
      <c r="B7" s="185"/>
      <c r="C7" s="185"/>
      <c r="D7" s="185"/>
      <c r="E7" s="185"/>
      <c r="F7" s="185"/>
      <c r="G7" s="185"/>
      <c r="H7" s="185"/>
      <c r="I7" s="185"/>
      <c r="J7" s="185"/>
      <c r="K7" s="185"/>
      <c r="L7" s="185"/>
      <c r="M7" s="185"/>
      <c r="N7" s="185"/>
      <c r="S7" s="41"/>
      <c r="T7" s="53"/>
      <c r="V7" s="53"/>
      <c r="W7" s="53"/>
      <c r="X7" s="53"/>
      <c r="AA7" s="58"/>
      <c r="AB7" s="58"/>
      <c r="AC7" s="41"/>
      <c r="AD7" s="41"/>
      <c r="AE7" s="41"/>
      <c r="AF7" s="41"/>
      <c r="AG7" s="41"/>
      <c r="AH7" s="53"/>
      <c r="AI7" s="53"/>
      <c r="AJ7" s="53"/>
      <c r="AK7" s="53"/>
      <c r="AL7" s="53"/>
      <c r="AM7" s="53"/>
      <c r="AN7" s="41"/>
      <c r="AO7" s="41"/>
    </row>
    <row r="8" spans="1:1287" s="30" customFormat="1" ht="110.55" customHeight="1" thickBot="1">
      <c r="B8" s="599" t="s">
        <v>2482</v>
      </c>
      <c r="C8" s="600"/>
      <c r="D8" s="600"/>
      <c r="E8" s="596" t="s">
        <v>2459</v>
      </c>
      <c r="F8" s="596"/>
      <c r="G8" s="596"/>
      <c r="H8" s="596"/>
      <c r="I8" s="596"/>
      <c r="J8" s="596"/>
      <c r="K8" s="596"/>
      <c r="L8" s="596"/>
      <c r="M8" s="596"/>
      <c r="N8" s="596"/>
      <c r="O8" s="596"/>
      <c r="P8" s="596"/>
      <c r="Q8" s="596"/>
      <c r="R8" s="596"/>
      <c r="S8" s="596"/>
      <c r="T8" s="596"/>
      <c r="U8" s="596"/>
      <c r="V8" s="596"/>
      <c r="W8" s="596"/>
      <c r="X8" s="596"/>
      <c r="Y8" s="596"/>
      <c r="Z8" s="597"/>
      <c r="AA8" s="60"/>
      <c r="AC8" s="54"/>
      <c r="AD8" s="54"/>
      <c r="AE8" s="54"/>
      <c r="AF8" s="54"/>
      <c r="AG8" s="54"/>
      <c r="AH8" s="61"/>
      <c r="AI8" s="61"/>
      <c r="AJ8" s="61"/>
      <c r="AK8" s="61"/>
      <c r="AL8" s="61"/>
      <c r="AM8" s="61"/>
      <c r="AN8" s="54"/>
      <c r="AO8" s="54"/>
    </row>
    <row r="9" spans="1:1287" s="30" customFormat="1" ht="13.8" customHeight="1">
      <c r="E9" s="598"/>
      <c r="F9" s="598"/>
      <c r="G9" s="598"/>
      <c r="H9" s="598"/>
      <c r="I9" s="598"/>
      <c r="J9" s="598"/>
      <c r="K9" s="598"/>
      <c r="L9" s="598"/>
      <c r="M9" s="598"/>
      <c r="N9" s="598"/>
      <c r="O9" s="598"/>
      <c r="P9" s="598"/>
      <c r="Q9" s="598"/>
      <c r="R9" s="598"/>
      <c r="S9" s="598"/>
      <c r="T9" s="598"/>
      <c r="U9" s="598"/>
      <c r="V9" s="598"/>
      <c r="W9" s="598"/>
      <c r="X9" s="598"/>
      <c r="Y9" s="598"/>
      <c r="Z9" s="598"/>
      <c r="AA9" s="59"/>
      <c r="AB9" s="60"/>
      <c r="AC9" s="54"/>
      <c r="AD9" s="54"/>
      <c r="AE9" s="54"/>
      <c r="AF9" s="54"/>
      <c r="AG9" s="54"/>
      <c r="AH9" s="61"/>
      <c r="AI9" s="61"/>
      <c r="AJ9" s="61"/>
      <c r="AK9" s="61"/>
      <c r="AL9" s="53"/>
      <c r="AM9" s="53"/>
      <c r="AN9" s="54"/>
      <c r="AO9" s="54"/>
    </row>
    <row r="10" spans="1:1287" s="30" customFormat="1" ht="14.4" thickBot="1">
      <c r="I10" s="69"/>
      <c r="K10" s="106"/>
      <c r="S10" s="54"/>
      <c r="T10" s="61"/>
      <c r="V10" s="61"/>
      <c r="W10" s="61"/>
      <c r="X10" s="61"/>
      <c r="AA10" s="60"/>
      <c r="AB10" s="60"/>
      <c r="AC10" s="54"/>
      <c r="AD10" s="54"/>
      <c r="AE10" s="54"/>
      <c r="AF10" s="54"/>
      <c r="AG10" s="54"/>
      <c r="AH10" s="61"/>
      <c r="AI10" s="61"/>
      <c r="AJ10" s="61"/>
      <c r="AK10" s="61"/>
      <c r="AL10" s="53"/>
      <c r="AM10" s="53"/>
      <c r="AN10" s="54"/>
      <c r="AO10" s="54"/>
    </row>
    <row r="11" spans="1:1287" s="30" customFormat="1" ht="14.4" thickBot="1">
      <c r="B11" s="607" t="s">
        <v>96</v>
      </c>
      <c r="C11" s="608"/>
      <c r="D11" s="172" t="s">
        <v>91</v>
      </c>
      <c r="I11" s="69"/>
      <c r="K11" s="106"/>
      <c r="S11" s="54"/>
      <c r="T11" s="61"/>
      <c r="V11" s="61"/>
      <c r="W11" s="61"/>
      <c r="X11" s="61"/>
      <c r="AA11" s="60"/>
      <c r="AB11" s="60"/>
      <c r="AC11" s="54"/>
      <c r="AD11" s="54"/>
      <c r="AE11" s="54"/>
      <c r="AF11" s="54"/>
      <c r="AG11" s="54"/>
      <c r="AH11" s="61"/>
      <c r="AI11" s="61"/>
      <c r="AJ11" s="61"/>
      <c r="AK11" s="61"/>
      <c r="AL11" s="53"/>
      <c r="AM11" s="53"/>
      <c r="AN11" s="54"/>
      <c r="AO11" s="54"/>
    </row>
    <row r="12" spans="1:1287" s="30" customFormat="1" ht="14.4" thickBot="1">
      <c r="I12" s="69"/>
      <c r="K12" s="106"/>
      <c r="S12" s="54"/>
      <c r="T12" s="61"/>
      <c r="V12" s="61"/>
      <c r="W12" s="61"/>
      <c r="X12" s="61"/>
      <c r="AA12" s="60"/>
      <c r="AB12" s="60"/>
      <c r="AC12" s="54"/>
      <c r="AD12" s="54"/>
      <c r="AE12" s="54"/>
      <c r="AF12" s="54"/>
      <c r="AG12" s="54"/>
      <c r="AH12" s="61"/>
      <c r="AI12" s="61"/>
      <c r="AJ12" s="61"/>
      <c r="AK12" s="61"/>
      <c r="AL12" s="53"/>
      <c r="AM12" s="53"/>
      <c r="AN12" s="54"/>
      <c r="AO12" s="54"/>
    </row>
    <row r="13" spans="1:1287" ht="14.4" thickBot="1">
      <c r="A13" s="191"/>
      <c r="B13" s="316"/>
      <c r="C13" s="316"/>
      <c r="D13" s="316"/>
      <c r="E13" s="316"/>
      <c r="F13" s="316"/>
      <c r="G13" s="316"/>
      <c r="H13" s="316" t="s">
        <v>38</v>
      </c>
      <c r="I13" s="316"/>
      <c r="J13" s="316"/>
      <c r="K13" s="316"/>
      <c r="L13" s="316"/>
      <c r="M13" s="316"/>
      <c r="N13" s="316"/>
      <c r="O13" s="316"/>
      <c r="P13" s="316"/>
      <c r="Q13" s="316"/>
      <c r="R13" s="316"/>
      <c r="S13" s="317"/>
      <c r="T13" s="318"/>
      <c r="U13" s="316"/>
      <c r="V13" s="318"/>
      <c r="W13" s="318"/>
      <c r="X13" s="318"/>
      <c r="Y13" s="316"/>
      <c r="Z13" s="316"/>
      <c r="AA13" s="316"/>
      <c r="AB13" s="316"/>
      <c r="AC13" s="319"/>
      <c r="AD13" s="319"/>
      <c r="AE13" s="319"/>
      <c r="AF13" s="319"/>
      <c r="AG13" s="319"/>
      <c r="AH13" s="316"/>
      <c r="AI13" s="605"/>
      <c r="AJ13" s="606"/>
      <c r="AK13" s="238" t="s">
        <v>104</v>
      </c>
      <c r="AL13" s="40"/>
      <c r="AM13" s="4" t="s">
        <v>63</v>
      </c>
      <c r="AN13" s="5"/>
      <c r="AO13" s="40"/>
      <c r="AP13" s="4" t="s">
        <v>64</v>
      </c>
      <c r="AQ13" s="40"/>
      <c r="AR13" s="4" t="s">
        <v>2324</v>
      </c>
      <c r="AS13" s="105"/>
    </row>
    <row r="14" spans="1:1287" ht="15.75" customHeight="1" thickBot="1">
      <c r="A14" s="191"/>
      <c r="B14" s="603" t="s">
        <v>70</v>
      </c>
      <c r="C14" s="603"/>
      <c r="D14" s="603"/>
      <c r="E14" s="603"/>
      <c r="F14" s="603"/>
      <c r="G14" s="602" t="s">
        <v>73</v>
      </c>
      <c r="H14" s="603"/>
      <c r="I14" s="603"/>
      <c r="J14" s="602" t="s">
        <v>87</v>
      </c>
      <c r="K14" s="603"/>
      <c r="L14" s="603"/>
      <c r="M14" s="604"/>
      <c r="N14" s="609" t="s">
        <v>71</v>
      </c>
      <c r="O14" s="610"/>
      <c r="P14" s="610"/>
      <c r="Q14" s="610"/>
      <c r="R14" s="610"/>
      <c r="S14" s="610"/>
      <c r="T14" s="610"/>
      <c r="U14" s="610"/>
      <c r="V14" s="611"/>
      <c r="W14" s="611"/>
      <c r="X14" s="611"/>
      <c r="Y14" s="614"/>
      <c r="Z14" s="602" t="s">
        <v>72</v>
      </c>
      <c r="AA14" s="603"/>
      <c r="AB14" s="603"/>
      <c r="AC14" s="603"/>
      <c r="AD14" s="603"/>
      <c r="AE14" s="603"/>
      <c r="AF14" s="603"/>
      <c r="AG14" s="603"/>
      <c r="AH14" s="603"/>
      <c r="AI14" s="603"/>
      <c r="AJ14" s="604"/>
      <c r="AK14" s="615" t="s">
        <v>113</v>
      </c>
      <c r="AL14" s="40"/>
      <c r="AM14" s="617" t="str">
        <f>AK14</f>
        <v>Citywide</v>
      </c>
      <c r="AN14" s="612" t="s">
        <v>43</v>
      </c>
      <c r="AO14" s="30"/>
      <c r="AP14" s="612" t="str">
        <f>AK14</f>
        <v>Citywide</v>
      </c>
      <c r="AR14" s="612" t="s">
        <v>113</v>
      </c>
    </row>
    <row r="15" spans="1:1287" s="143" customFormat="1" ht="108" customHeight="1" thickBot="1">
      <c r="A15" s="120"/>
      <c r="B15" s="354" t="s">
        <v>32</v>
      </c>
      <c r="C15" s="307" t="s">
        <v>68</v>
      </c>
      <c r="D15" s="307" t="s">
        <v>112</v>
      </c>
      <c r="E15" s="307" t="s">
        <v>107</v>
      </c>
      <c r="F15" s="307" t="s">
        <v>34</v>
      </c>
      <c r="G15" s="307" t="s">
        <v>74</v>
      </c>
      <c r="H15" s="307" t="s">
        <v>2425</v>
      </c>
      <c r="I15" s="307" t="s">
        <v>2426</v>
      </c>
      <c r="J15" s="307" t="s">
        <v>97</v>
      </c>
      <c r="K15" s="353" t="s">
        <v>2441</v>
      </c>
      <c r="L15" s="353" t="s">
        <v>2443</v>
      </c>
      <c r="M15" s="354" t="s">
        <v>94</v>
      </c>
      <c r="N15" s="307" t="s">
        <v>2442</v>
      </c>
      <c r="O15" s="353" t="s">
        <v>2427</v>
      </c>
      <c r="P15" s="307" t="s">
        <v>36</v>
      </c>
      <c r="Q15" s="307" t="s">
        <v>103</v>
      </c>
      <c r="R15" s="307" t="s">
        <v>85</v>
      </c>
      <c r="S15" s="307" t="s">
        <v>2284</v>
      </c>
      <c r="T15" s="437" t="s">
        <v>2285</v>
      </c>
      <c r="U15" s="353" t="s">
        <v>2428</v>
      </c>
      <c r="V15" s="438" t="s">
        <v>115</v>
      </c>
      <c r="W15" s="439" t="s">
        <v>2429</v>
      </c>
      <c r="X15" s="440" t="s">
        <v>116</v>
      </c>
      <c r="Y15" s="441" t="s">
        <v>2430</v>
      </c>
      <c r="Z15" s="354" t="s">
        <v>2431</v>
      </c>
      <c r="AA15" s="307" t="s">
        <v>44</v>
      </c>
      <c r="AB15" s="307" t="s">
        <v>45</v>
      </c>
      <c r="AC15" s="442" t="s">
        <v>2432</v>
      </c>
      <c r="AD15" s="352" t="s">
        <v>2433</v>
      </c>
      <c r="AE15" s="352" t="s">
        <v>2321</v>
      </c>
      <c r="AF15" s="352" t="s">
        <v>2434</v>
      </c>
      <c r="AG15" s="352" t="s">
        <v>2435</v>
      </c>
      <c r="AH15" s="307" t="s">
        <v>2436</v>
      </c>
      <c r="AI15" s="307" t="s">
        <v>2437</v>
      </c>
      <c r="AJ15" s="307" t="s">
        <v>2438</v>
      </c>
      <c r="AK15" s="616"/>
      <c r="AL15" s="142"/>
      <c r="AM15" s="618"/>
      <c r="AN15" s="613"/>
      <c r="AO15" s="120"/>
      <c r="AP15" s="613"/>
      <c r="AQ15" s="120"/>
      <c r="AR15" s="613"/>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c r="GN15" s="120"/>
      <c r="GO15" s="120"/>
      <c r="GP15" s="120"/>
      <c r="GQ15" s="120"/>
      <c r="GR15" s="120"/>
      <c r="GS15" s="120"/>
      <c r="GT15" s="120"/>
      <c r="GU15" s="120"/>
      <c r="GV15" s="120"/>
      <c r="GW15" s="120"/>
      <c r="GX15" s="120"/>
      <c r="GY15" s="120"/>
      <c r="GZ15" s="120"/>
      <c r="HA15" s="120"/>
      <c r="HB15" s="120"/>
      <c r="HC15" s="120"/>
      <c r="HD15" s="120"/>
      <c r="HE15" s="120"/>
      <c r="HF15" s="120"/>
      <c r="HG15" s="120"/>
      <c r="HH15" s="120"/>
      <c r="HI15" s="120"/>
      <c r="HJ15" s="120"/>
      <c r="HK15" s="120"/>
      <c r="HL15" s="120"/>
      <c r="HM15" s="120"/>
      <c r="HN15" s="120"/>
      <c r="HO15" s="120"/>
      <c r="HP15" s="120"/>
      <c r="HQ15" s="120"/>
      <c r="HR15" s="120"/>
      <c r="HS15" s="120"/>
      <c r="HT15" s="120"/>
      <c r="HU15" s="120"/>
      <c r="HV15" s="120"/>
      <c r="HW15" s="120"/>
      <c r="HX15" s="120"/>
      <c r="HY15" s="120"/>
      <c r="HZ15" s="120"/>
      <c r="IA15" s="120"/>
      <c r="IB15" s="120"/>
      <c r="IC15" s="120"/>
      <c r="ID15" s="120"/>
      <c r="IE15" s="120"/>
      <c r="IF15" s="120"/>
      <c r="IG15" s="120"/>
      <c r="IH15" s="120"/>
      <c r="II15" s="120"/>
      <c r="IJ15" s="120"/>
      <c r="IK15" s="120"/>
      <c r="IL15" s="120"/>
      <c r="IM15" s="120"/>
      <c r="IN15" s="120"/>
      <c r="IO15" s="120"/>
      <c r="IP15" s="120"/>
      <c r="IQ15" s="120"/>
      <c r="IR15" s="120"/>
      <c r="IS15" s="120"/>
      <c r="IT15" s="120"/>
      <c r="IU15" s="120"/>
      <c r="IV15" s="120"/>
      <c r="IW15" s="120"/>
      <c r="IX15" s="120"/>
      <c r="IY15" s="120"/>
      <c r="IZ15" s="120"/>
      <c r="JA15" s="120"/>
      <c r="JB15" s="120"/>
      <c r="JC15" s="120"/>
      <c r="JD15" s="120"/>
      <c r="JE15" s="120"/>
      <c r="JF15" s="120"/>
      <c r="JG15" s="120"/>
      <c r="JH15" s="120"/>
      <c r="JI15" s="120"/>
      <c r="JJ15" s="120"/>
      <c r="JK15" s="120"/>
      <c r="JL15" s="120"/>
      <c r="JM15" s="120"/>
      <c r="JN15" s="120"/>
      <c r="JO15" s="120"/>
      <c r="JP15" s="120"/>
      <c r="JQ15" s="120"/>
      <c r="JR15" s="120"/>
      <c r="JS15" s="120"/>
      <c r="JT15" s="120"/>
      <c r="JU15" s="120"/>
      <c r="JV15" s="120"/>
      <c r="JW15" s="120"/>
      <c r="JX15" s="120"/>
      <c r="JY15" s="120"/>
      <c r="JZ15" s="120"/>
      <c r="KA15" s="120"/>
      <c r="KB15" s="120"/>
      <c r="KC15" s="120"/>
      <c r="KD15" s="120"/>
      <c r="KE15" s="120"/>
      <c r="KF15" s="120"/>
      <c r="KG15" s="120"/>
      <c r="KH15" s="120"/>
      <c r="KI15" s="120"/>
      <c r="KJ15" s="120"/>
      <c r="KK15" s="120"/>
      <c r="KL15" s="120"/>
      <c r="KM15" s="120"/>
      <c r="KN15" s="120"/>
      <c r="KO15" s="120"/>
      <c r="KP15" s="120"/>
      <c r="KQ15" s="120"/>
      <c r="KR15" s="120"/>
      <c r="KS15" s="120"/>
      <c r="KT15" s="120"/>
      <c r="KU15" s="120"/>
      <c r="KV15" s="120"/>
      <c r="KW15" s="120"/>
      <c r="KX15" s="120"/>
      <c r="KY15" s="120"/>
      <c r="KZ15" s="120"/>
      <c r="LA15" s="120"/>
      <c r="LB15" s="120"/>
      <c r="LC15" s="120"/>
      <c r="LD15" s="120"/>
      <c r="LE15" s="120"/>
      <c r="LF15" s="120"/>
      <c r="LG15" s="120"/>
      <c r="LH15" s="120"/>
      <c r="LI15" s="120"/>
      <c r="LJ15" s="120"/>
      <c r="LK15" s="120"/>
      <c r="LL15" s="120"/>
      <c r="LM15" s="120"/>
      <c r="LN15" s="120"/>
      <c r="LO15" s="120"/>
      <c r="LP15" s="120"/>
      <c r="LQ15" s="120"/>
      <c r="LR15" s="120"/>
      <c r="LS15" s="120"/>
      <c r="LT15" s="120"/>
      <c r="LU15" s="120"/>
      <c r="LV15" s="120"/>
      <c r="LW15" s="120"/>
      <c r="LX15" s="120"/>
      <c r="LY15" s="120"/>
      <c r="LZ15" s="120"/>
      <c r="MA15" s="120"/>
      <c r="MB15" s="120"/>
      <c r="MC15" s="120"/>
      <c r="MD15" s="120"/>
      <c r="ME15" s="120"/>
      <c r="MF15" s="120"/>
      <c r="MG15" s="120"/>
      <c r="MH15" s="120"/>
      <c r="MI15" s="120"/>
      <c r="MJ15" s="120"/>
      <c r="MK15" s="120"/>
      <c r="ML15" s="120"/>
      <c r="MM15" s="120"/>
      <c r="MN15" s="120"/>
      <c r="MO15" s="120"/>
      <c r="MP15" s="120"/>
      <c r="MQ15" s="120"/>
      <c r="MR15" s="120"/>
      <c r="MS15" s="120"/>
      <c r="MT15" s="120"/>
      <c r="MU15" s="120"/>
      <c r="MV15" s="120"/>
      <c r="MW15" s="120"/>
      <c r="MX15" s="120"/>
      <c r="MY15" s="120"/>
      <c r="MZ15" s="120"/>
      <c r="NA15" s="120"/>
      <c r="NB15" s="120"/>
      <c r="NC15" s="120"/>
      <c r="ND15" s="120"/>
      <c r="NE15" s="120"/>
      <c r="NF15" s="120"/>
      <c r="NG15" s="120"/>
      <c r="NH15" s="120"/>
      <c r="NI15" s="120"/>
      <c r="NJ15" s="120"/>
      <c r="NK15" s="120"/>
      <c r="NL15" s="120"/>
      <c r="NM15" s="120"/>
      <c r="NN15" s="120"/>
      <c r="NO15" s="120"/>
      <c r="NP15" s="120"/>
      <c r="NQ15" s="120"/>
      <c r="NR15" s="120"/>
      <c r="NS15" s="120"/>
      <c r="NT15" s="120"/>
      <c r="NU15" s="120"/>
      <c r="NV15" s="120"/>
      <c r="NW15" s="120"/>
      <c r="NX15" s="120"/>
      <c r="NY15" s="120"/>
      <c r="NZ15" s="120"/>
      <c r="OA15" s="120"/>
      <c r="OB15" s="120"/>
      <c r="OC15" s="120"/>
      <c r="OD15" s="120"/>
      <c r="OE15" s="120"/>
      <c r="OF15" s="120"/>
      <c r="OG15" s="120"/>
      <c r="OH15" s="120"/>
      <c r="OI15" s="120"/>
      <c r="OJ15" s="120"/>
      <c r="OK15" s="120"/>
      <c r="OL15" s="120"/>
      <c r="OM15" s="120"/>
      <c r="ON15" s="120"/>
      <c r="OO15" s="120"/>
      <c r="OP15" s="120"/>
      <c r="OQ15" s="120"/>
      <c r="OR15" s="120"/>
      <c r="OS15" s="120"/>
      <c r="OT15" s="120"/>
      <c r="OU15" s="120"/>
      <c r="OV15" s="120"/>
      <c r="OW15" s="120"/>
      <c r="OX15" s="120"/>
      <c r="OY15" s="120"/>
      <c r="OZ15" s="120"/>
      <c r="PA15" s="120"/>
      <c r="PB15" s="120"/>
      <c r="PC15" s="120"/>
      <c r="PD15" s="120"/>
      <c r="PE15" s="120"/>
      <c r="PF15" s="120"/>
      <c r="PG15" s="120"/>
      <c r="PH15" s="120"/>
      <c r="PI15" s="120"/>
      <c r="PJ15" s="120"/>
      <c r="PK15" s="120"/>
      <c r="PL15" s="120"/>
      <c r="PM15" s="120"/>
      <c r="PN15" s="120"/>
      <c r="PO15" s="120"/>
      <c r="PP15" s="120"/>
      <c r="PQ15" s="120"/>
      <c r="PR15" s="120"/>
      <c r="PS15" s="120"/>
      <c r="PT15" s="120"/>
      <c r="PU15" s="120"/>
      <c r="PV15" s="120"/>
      <c r="PW15" s="120"/>
      <c r="PX15" s="120"/>
      <c r="PY15" s="120"/>
      <c r="PZ15" s="120"/>
      <c r="QA15" s="120"/>
      <c r="QB15" s="120"/>
      <c r="QC15" s="120"/>
      <c r="QD15" s="120"/>
      <c r="QE15" s="120"/>
      <c r="QF15" s="120"/>
      <c r="QG15" s="120"/>
      <c r="QH15" s="120"/>
      <c r="QI15" s="120"/>
      <c r="QJ15" s="120"/>
      <c r="QK15" s="120"/>
      <c r="QL15" s="120"/>
      <c r="QM15" s="120"/>
      <c r="QN15" s="120"/>
      <c r="QO15" s="120"/>
      <c r="QP15" s="120"/>
      <c r="QQ15" s="120"/>
      <c r="QR15" s="120"/>
      <c r="QS15" s="120"/>
      <c r="QT15" s="120"/>
      <c r="QU15" s="120"/>
      <c r="QV15" s="120"/>
      <c r="QW15" s="120"/>
      <c r="QX15" s="120"/>
      <c r="QY15" s="120"/>
      <c r="QZ15" s="120"/>
      <c r="RA15" s="120"/>
      <c r="RB15" s="120"/>
      <c r="RC15" s="120"/>
      <c r="RD15" s="120"/>
      <c r="RE15" s="120"/>
      <c r="RF15" s="120"/>
      <c r="RG15" s="120"/>
      <c r="RH15" s="120"/>
      <c r="RI15" s="120"/>
      <c r="RJ15" s="120"/>
      <c r="RK15" s="120"/>
      <c r="RL15" s="120"/>
      <c r="RM15" s="120"/>
      <c r="RN15" s="120"/>
      <c r="RO15" s="120"/>
      <c r="RP15" s="120"/>
      <c r="RQ15" s="120"/>
      <c r="RR15" s="120"/>
      <c r="RS15" s="120"/>
      <c r="RT15" s="120"/>
      <c r="RU15" s="120"/>
      <c r="RV15" s="120"/>
      <c r="RW15" s="120"/>
      <c r="RX15" s="120"/>
      <c r="RY15" s="120"/>
      <c r="RZ15" s="120"/>
      <c r="SA15" s="120"/>
      <c r="SB15" s="120"/>
      <c r="SC15" s="120"/>
      <c r="SD15" s="120"/>
      <c r="SE15" s="120"/>
      <c r="SF15" s="120"/>
      <c r="SG15" s="120"/>
      <c r="SH15" s="120"/>
      <c r="SI15" s="120"/>
      <c r="SJ15" s="120"/>
      <c r="SK15" s="120"/>
      <c r="SL15" s="120"/>
      <c r="SM15" s="120"/>
      <c r="SN15" s="120"/>
      <c r="SO15" s="120"/>
      <c r="SP15" s="120"/>
      <c r="SQ15" s="120"/>
      <c r="SR15" s="120"/>
      <c r="SS15" s="120"/>
      <c r="ST15" s="120"/>
      <c r="SU15" s="120"/>
      <c r="SV15" s="120"/>
      <c r="SW15" s="120"/>
      <c r="SX15" s="120"/>
      <c r="SY15" s="120"/>
      <c r="SZ15" s="120"/>
      <c r="TA15" s="120"/>
      <c r="TB15" s="120"/>
      <c r="TC15" s="120"/>
      <c r="TD15" s="120"/>
      <c r="TE15" s="120"/>
      <c r="TF15" s="120"/>
      <c r="TG15" s="120"/>
      <c r="TH15" s="120"/>
      <c r="TI15" s="120"/>
      <c r="TJ15" s="120"/>
      <c r="TK15" s="120"/>
      <c r="TL15" s="120"/>
      <c r="TM15" s="120"/>
      <c r="TN15" s="120"/>
      <c r="TO15" s="120"/>
      <c r="TP15" s="120"/>
      <c r="TQ15" s="120"/>
      <c r="TR15" s="120"/>
      <c r="TS15" s="120"/>
      <c r="TT15" s="120"/>
      <c r="TU15" s="120"/>
      <c r="TV15" s="120"/>
      <c r="TW15" s="120"/>
      <c r="TX15" s="120"/>
      <c r="TY15" s="120"/>
      <c r="TZ15" s="120"/>
      <c r="UA15" s="120"/>
      <c r="UB15" s="120"/>
      <c r="UC15" s="120"/>
      <c r="UD15" s="120"/>
      <c r="UE15" s="120"/>
      <c r="UF15" s="120"/>
      <c r="UG15" s="120"/>
      <c r="UH15" s="120"/>
      <c r="UI15" s="120"/>
      <c r="UJ15" s="120"/>
      <c r="UK15" s="120"/>
      <c r="UL15" s="120"/>
      <c r="UM15" s="120"/>
      <c r="UN15" s="120"/>
      <c r="UO15" s="120"/>
      <c r="UP15" s="120"/>
      <c r="UQ15" s="120"/>
      <c r="UR15" s="120"/>
      <c r="US15" s="120"/>
      <c r="UT15" s="120"/>
      <c r="UU15" s="120"/>
      <c r="UV15" s="120"/>
      <c r="UW15" s="120"/>
      <c r="UX15" s="120"/>
      <c r="UY15" s="120"/>
      <c r="UZ15" s="120"/>
      <c r="VA15" s="120"/>
      <c r="VB15" s="120"/>
      <c r="VC15" s="120"/>
      <c r="VD15" s="120"/>
      <c r="VE15" s="120"/>
      <c r="VF15" s="120"/>
      <c r="VG15" s="120"/>
      <c r="VH15" s="120"/>
      <c r="VI15" s="120"/>
      <c r="VJ15" s="120"/>
      <c r="VK15" s="120"/>
      <c r="VL15" s="120"/>
      <c r="VM15" s="120"/>
      <c r="VN15" s="120"/>
      <c r="VO15" s="120"/>
      <c r="VP15" s="120"/>
      <c r="VQ15" s="120"/>
      <c r="VR15" s="120"/>
      <c r="VS15" s="120"/>
      <c r="VT15" s="120"/>
      <c r="VU15" s="120"/>
      <c r="VV15" s="120"/>
      <c r="VW15" s="120"/>
      <c r="VX15" s="120"/>
      <c r="VY15" s="120"/>
      <c r="VZ15" s="120"/>
      <c r="WA15" s="120"/>
      <c r="WB15" s="120"/>
      <c r="WC15" s="120"/>
      <c r="WD15" s="120"/>
      <c r="WE15" s="120"/>
      <c r="WF15" s="120"/>
      <c r="WG15" s="120"/>
      <c r="WH15" s="120"/>
      <c r="WI15" s="120"/>
      <c r="WJ15" s="120"/>
      <c r="WK15" s="120"/>
      <c r="WL15" s="120"/>
      <c r="WM15" s="120"/>
      <c r="WN15" s="120"/>
      <c r="WO15" s="120"/>
      <c r="WP15" s="120"/>
      <c r="WQ15" s="120"/>
      <c r="WR15" s="120"/>
      <c r="WS15" s="120"/>
      <c r="WT15" s="120"/>
      <c r="WU15" s="120"/>
      <c r="WV15" s="120"/>
      <c r="WW15" s="120"/>
      <c r="WX15" s="120"/>
      <c r="WY15" s="120"/>
      <c r="WZ15" s="120"/>
      <c r="XA15" s="120"/>
      <c r="XB15" s="120"/>
      <c r="XC15" s="120"/>
      <c r="XD15" s="120"/>
      <c r="XE15" s="120"/>
      <c r="XF15" s="120"/>
      <c r="XG15" s="120"/>
      <c r="XH15" s="120"/>
      <c r="XI15" s="120"/>
      <c r="XJ15" s="120"/>
      <c r="XK15" s="120"/>
      <c r="XL15" s="120"/>
      <c r="XM15" s="120"/>
      <c r="XN15" s="120"/>
      <c r="XO15" s="120"/>
      <c r="XP15" s="120"/>
      <c r="XQ15" s="120"/>
      <c r="XR15" s="120"/>
      <c r="XS15" s="120"/>
      <c r="XT15" s="120"/>
      <c r="XU15" s="120"/>
      <c r="XV15" s="120"/>
      <c r="XW15" s="120"/>
      <c r="XX15" s="120"/>
      <c r="XY15" s="120"/>
      <c r="XZ15" s="120"/>
      <c r="YA15" s="120"/>
      <c r="YB15" s="120"/>
      <c r="YC15" s="120"/>
      <c r="YD15" s="120"/>
      <c r="YE15" s="120"/>
      <c r="YF15" s="120"/>
      <c r="YG15" s="120"/>
      <c r="YH15" s="120"/>
      <c r="YI15" s="120"/>
      <c r="YJ15" s="120"/>
      <c r="YK15" s="120"/>
      <c r="YL15" s="120"/>
      <c r="YM15" s="120"/>
      <c r="YN15" s="120"/>
      <c r="YO15" s="120"/>
      <c r="YP15" s="120"/>
      <c r="YQ15" s="120"/>
      <c r="YR15" s="120"/>
      <c r="YS15" s="120"/>
      <c r="YT15" s="120"/>
      <c r="YU15" s="120"/>
      <c r="YV15" s="120"/>
      <c r="YW15" s="120"/>
      <c r="YX15" s="120"/>
      <c r="YY15" s="120"/>
      <c r="YZ15" s="120"/>
      <c r="ZA15" s="120"/>
      <c r="ZB15" s="120"/>
      <c r="ZC15" s="120"/>
      <c r="ZD15" s="120"/>
      <c r="ZE15" s="120"/>
      <c r="ZF15" s="120"/>
      <c r="ZG15" s="120"/>
      <c r="ZH15" s="120"/>
      <c r="ZI15" s="120"/>
      <c r="ZJ15" s="120"/>
      <c r="ZK15" s="120"/>
      <c r="ZL15" s="120"/>
      <c r="ZM15" s="120"/>
      <c r="ZN15" s="120"/>
      <c r="ZO15" s="120"/>
      <c r="ZP15" s="120"/>
      <c r="ZQ15" s="120"/>
      <c r="ZR15" s="120"/>
      <c r="ZS15" s="120"/>
      <c r="ZT15" s="120"/>
      <c r="ZU15" s="120"/>
      <c r="ZV15" s="120"/>
      <c r="ZW15" s="120"/>
      <c r="ZX15" s="120"/>
      <c r="ZY15" s="120"/>
      <c r="ZZ15" s="120"/>
      <c r="AAA15" s="120"/>
      <c r="AAB15" s="120"/>
      <c r="AAC15" s="120"/>
      <c r="AAD15" s="120"/>
      <c r="AAE15" s="120"/>
      <c r="AAF15" s="120"/>
      <c r="AAG15" s="120"/>
      <c r="AAH15" s="120"/>
      <c r="AAI15" s="120"/>
      <c r="AAJ15" s="120"/>
      <c r="AAK15" s="120"/>
      <c r="AAL15" s="120"/>
      <c r="AAM15" s="120"/>
      <c r="AAN15" s="120"/>
      <c r="AAO15" s="120"/>
      <c r="AAP15" s="120"/>
      <c r="AAQ15" s="120"/>
      <c r="AAR15" s="120"/>
      <c r="AAS15" s="120"/>
      <c r="AAT15" s="120"/>
      <c r="AAU15" s="120"/>
      <c r="AAV15" s="120"/>
      <c r="AAW15" s="120"/>
      <c r="AAX15" s="120"/>
      <c r="AAY15" s="120"/>
      <c r="AAZ15" s="120"/>
      <c r="ABA15" s="120"/>
      <c r="ABB15" s="120"/>
      <c r="ABC15" s="120"/>
      <c r="ABD15" s="120"/>
      <c r="ABE15" s="120"/>
      <c r="ABF15" s="120"/>
      <c r="ABG15" s="120"/>
      <c r="ABH15" s="120"/>
      <c r="ABI15" s="120"/>
      <c r="ABJ15" s="120"/>
      <c r="ABK15" s="120"/>
      <c r="ABL15" s="120"/>
      <c r="ABM15" s="120"/>
      <c r="ABN15" s="120"/>
      <c r="ABO15" s="120"/>
      <c r="ABP15" s="120"/>
      <c r="ABQ15" s="120"/>
      <c r="ABR15" s="120"/>
      <c r="ABS15" s="120"/>
      <c r="ABT15" s="120"/>
      <c r="ABU15" s="120"/>
      <c r="ABV15" s="120"/>
      <c r="ABW15" s="120"/>
      <c r="ABX15" s="120"/>
      <c r="ABY15" s="120"/>
      <c r="ABZ15" s="120"/>
      <c r="ACA15" s="120"/>
      <c r="ACB15" s="120"/>
      <c r="ACC15" s="120"/>
      <c r="ACD15" s="120"/>
      <c r="ACE15" s="120"/>
      <c r="ACF15" s="120"/>
      <c r="ACG15" s="120"/>
      <c r="ACH15" s="120"/>
      <c r="ACI15" s="120"/>
      <c r="ACJ15" s="120"/>
      <c r="ACK15" s="120"/>
      <c r="ACL15" s="120"/>
      <c r="ACM15" s="120"/>
      <c r="ACN15" s="120"/>
      <c r="ACO15" s="120"/>
      <c r="ACP15" s="120"/>
      <c r="ACQ15" s="120"/>
      <c r="ACR15" s="120"/>
      <c r="ACS15" s="120"/>
      <c r="ACT15" s="120"/>
      <c r="ACU15" s="120"/>
      <c r="ACV15" s="120"/>
      <c r="ACW15" s="120"/>
      <c r="ACX15" s="120"/>
      <c r="ACY15" s="120"/>
      <c r="ACZ15" s="120"/>
      <c r="ADA15" s="120"/>
      <c r="ADB15" s="120"/>
      <c r="ADC15" s="120"/>
      <c r="ADD15" s="120"/>
      <c r="ADE15" s="120"/>
      <c r="ADF15" s="120"/>
      <c r="ADG15" s="120"/>
      <c r="ADH15" s="120"/>
      <c r="ADI15" s="120"/>
      <c r="ADJ15" s="120"/>
      <c r="ADK15" s="120"/>
      <c r="ADL15" s="120"/>
      <c r="ADM15" s="120"/>
      <c r="ADN15" s="120"/>
      <c r="ADO15" s="120"/>
      <c r="ADP15" s="120"/>
      <c r="ADQ15" s="120"/>
      <c r="ADR15" s="120"/>
      <c r="ADS15" s="120"/>
      <c r="ADT15" s="120"/>
      <c r="ADU15" s="120"/>
      <c r="ADV15" s="120"/>
      <c r="ADW15" s="120"/>
      <c r="ADX15" s="120"/>
      <c r="ADY15" s="120"/>
      <c r="ADZ15" s="120"/>
      <c r="AEA15" s="120"/>
      <c r="AEB15" s="120"/>
      <c r="AEC15" s="120"/>
      <c r="AED15" s="120"/>
      <c r="AEE15" s="120"/>
      <c r="AEF15" s="120"/>
      <c r="AEG15" s="120"/>
      <c r="AEH15" s="120"/>
      <c r="AEI15" s="120"/>
      <c r="AEJ15" s="120"/>
      <c r="AEK15" s="120"/>
      <c r="AEL15" s="120"/>
      <c r="AEM15" s="120"/>
      <c r="AEN15" s="120"/>
      <c r="AEO15" s="120"/>
      <c r="AEP15" s="120"/>
      <c r="AEQ15" s="120"/>
      <c r="AER15" s="120"/>
      <c r="AES15" s="120"/>
      <c r="AET15" s="120"/>
      <c r="AEU15" s="120"/>
      <c r="AEV15" s="120"/>
      <c r="AEW15" s="120"/>
      <c r="AEX15" s="120"/>
      <c r="AEY15" s="120"/>
      <c r="AEZ15" s="120"/>
      <c r="AFA15" s="120"/>
      <c r="AFB15" s="120"/>
      <c r="AFC15" s="120"/>
      <c r="AFD15" s="120"/>
      <c r="AFE15" s="120"/>
      <c r="AFF15" s="120"/>
      <c r="AFG15" s="120"/>
      <c r="AFH15" s="120"/>
      <c r="AFI15" s="120"/>
      <c r="AFJ15" s="120"/>
      <c r="AFK15" s="120"/>
      <c r="AFL15" s="120"/>
      <c r="AFM15" s="120"/>
      <c r="AFN15" s="120"/>
      <c r="AFO15" s="120"/>
      <c r="AFP15" s="120"/>
      <c r="AFQ15" s="120"/>
      <c r="AFR15" s="120"/>
      <c r="AFS15" s="120"/>
      <c r="AFT15" s="120"/>
      <c r="AFU15" s="120"/>
      <c r="AFV15" s="120"/>
      <c r="AFW15" s="120"/>
      <c r="AFX15" s="120"/>
      <c r="AFY15" s="120"/>
      <c r="AFZ15" s="120"/>
      <c r="AGA15" s="120"/>
      <c r="AGB15" s="120"/>
      <c r="AGC15" s="120"/>
      <c r="AGD15" s="120"/>
      <c r="AGE15" s="120"/>
      <c r="AGF15" s="120"/>
      <c r="AGG15" s="120"/>
      <c r="AGH15" s="120"/>
      <c r="AGI15" s="120"/>
      <c r="AGJ15" s="120"/>
      <c r="AGK15" s="120"/>
      <c r="AGL15" s="120"/>
      <c r="AGM15" s="120"/>
      <c r="AGN15" s="120"/>
      <c r="AGO15" s="120"/>
      <c r="AGP15" s="120"/>
      <c r="AGQ15" s="120"/>
      <c r="AGR15" s="120"/>
      <c r="AGS15" s="120"/>
      <c r="AGT15" s="120"/>
      <c r="AGU15" s="120"/>
      <c r="AGV15" s="120"/>
      <c r="AGW15" s="120"/>
      <c r="AGX15" s="120"/>
      <c r="AGY15" s="120"/>
      <c r="AGZ15" s="120"/>
      <c r="AHA15" s="120"/>
      <c r="AHB15" s="120"/>
      <c r="AHC15" s="120"/>
      <c r="AHD15" s="120"/>
      <c r="AHE15" s="120"/>
      <c r="AHF15" s="120"/>
      <c r="AHG15" s="120"/>
      <c r="AHH15" s="120"/>
      <c r="AHI15" s="120"/>
      <c r="AHJ15" s="120"/>
      <c r="AHK15" s="120"/>
      <c r="AHL15" s="120"/>
      <c r="AHM15" s="120"/>
      <c r="AHN15" s="120"/>
      <c r="AHO15" s="120"/>
      <c r="AHP15" s="120"/>
      <c r="AHQ15" s="120"/>
      <c r="AHR15" s="120"/>
      <c r="AHS15" s="120"/>
      <c r="AHT15" s="120"/>
      <c r="AHU15" s="120"/>
      <c r="AHV15" s="120"/>
      <c r="AHW15" s="120"/>
      <c r="AHX15" s="120"/>
      <c r="AHY15" s="120"/>
      <c r="AHZ15" s="120"/>
      <c r="AIA15" s="120"/>
      <c r="AIB15" s="120"/>
      <c r="AIC15" s="120"/>
      <c r="AID15" s="120"/>
      <c r="AIE15" s="120"/>
      <c r="AIF15" s="120"/>
      <c r="AIG15" s="120"/>
      <c r="AIH15" s="120"/>
      <c r="AII15" s="120"/>
      <c r="AIJ15" s="120"/>
      <c r="AIK15" s="120"/>
      <c r="AIL15" s="120"/>
      <c r="AIM15" s="120"/>
      <c r="AIN15" s="120"/>
      <c r="AIO15" s="120"/>
      <c r="AIP15" s="120"/>
      <c r="AIQ15" s="120"/>
      <c r="AIR15" s="120"/>
      <c r="AIS15" s="120"/>
      <c r="AIT15" s="120"/>
      <c r="AIU15" s="120"/>
      <c r="AIV15" s="120"/>
      <c r="AIW15" s="120"/>
      <c r="AIX15" s="120"/>
      <c r="AIY15" s="120"/>
      <c r="AIZ15" s="120"/>
      <c r="AJA15" s="120"/>
      <c r="AJB15" s="120"/>
      <c r="AJC15" s="120"/>
      <c r="AJD15" s="120"/>
      <c r="AJE15" s="120"/>
      <c r="AJF15" s="120"/>
      <c r="AJG15" s="120"/>
      <c r="AJH15" s="120"/>
      <c r="AJI15" s="120"/>
      <c r="AJJ15" s="120"/>
      <c r="AJK15" s="120"/>
      <c r="AJL15" s="120"/>
      <c r="AJM15" s="120"/>
      <c r="AJN15" s="120"/>
      <c r="AJO15" s="120"/>
      <c r="AJP15" s="120"/>
      <c r="AJQ15" s="120"/>
      <c r="AJR15" s="120"/>
      <c r="AJS15" s="120"/>
      <c r="AJT15" s="120"/>
      <c r="AJU15" s="120"/>
      <c r="AJV15" s="120"/>
      <c r="AJW15" s="120"/>
      <c r="AJX15" s="120"/>
      <c r="AJY15" s="120"/>
      <c r="AJZ15" s="120"/>
      <c r="AKA15" s="120"/>
      <c r="AKB15" s="120"/>
      <c r="AKC15" s="120"/>
      <c r="AKD15" s="120"/>
      <c r="AKE15" s="120"/>
      <c r="AKF15" s="120"/>
      <c r="AKG15" s="120"/>
      <c r="AKH15" s="120"/>
      <c r="AKI15" s="120"/>
      <c r="AKJ15" s="120"/>
      <c r="AKK15" s="120"/>
      <c r="AKL15" s="120"/>
      <c r="AKM15" s="120"/>
      <c r="AKN15" s="120"/>
      <c r="AKO15" s="120"/>
      <c r="AKP15" s="120"/>
      <c r="AKQ15" s="120"/>
      <c r="AKR15" s="120"/>
      <c r="AKS15" s="120"/>
      <c r="AKT15" s="120"/>
      <c r="AKU15" s="120"/>
      <c r="AKV15" s="120"/>
      <c r="AKW15" s="120"/>
      <c r="AKX15" s="120"/>
      <c r="AKY15" s="120"/>
      <c r="AKZ15" s="120"/>
      <c r="ALA15" s="120"/>
      <c r="ALB15" s="120"/>
      <c r="ALC15" s="120"/>
      <c r="ALD15" s="120"/>
      <c r="ALE15" s="120"/>
      <c r="ALF15" s="120"/>
      <c r="ALG15" s="120"/>
      <c r="ALH15" s="120"/>
      <c r="ALI15" s="120"/>
      <c r="ALJ15" s="120"/>
      <c r="ALK15" s="120"/>
      <c r="ALL15" s="120"/>
      <c r="ALM15" s="120"/>
      <c r="ALN15" s="120"/>
      <c r="ALO15" s="120"/>
      <c r="ALP15" s="120"/>
      <c r="ALQ15" s="120"/>
      <c r="ALR15" s="120"/>
      <c r="ALS15" s="120"/>
      <c r="ALT15" s="120"/>
      <c r="ALU15" s="120"/>
      <c r="ALV15" s="120"/>
      <c r="ALW15" s="120"/>
      <c r="ALX15" s="120"/>
      <c r="ALY15" s="120"/>
      <c r="ALZ15" s="120"/>
      <c r="AMA15" s="120"/>
      <c r="AMB15" s="120"/>
      <c r="AMC15" s="120"/>
      <c r="AMD15" s="120"/>
      <c r="AME15" s="120"/>
      <c r="AMF15" s="120"/>
      <c r="AMG15" s="120"/>
      <c r="AMH15" s="120"/>
      <c r="AMI15" s="120"/>
      <c r="AMJ15" s="120"/>
      <c r="AMK15" s="120"/>
      <c r="AML15" s="120"/>
      <c r="AMM15" s="120"/>
      <c r="AMN15" s="120"/>
      <c r="AMO15" s="120"/>
      <c r="AMP15" s="120"/>
      <c r="AMQ15" s="120"/>
      <c r="AMR15" s="120"/>
      <c r="AMS15" s="120"/>
      <c r="AMT15" s="120"/>
      <c r="AMU15" s="120"/>
      <c r="AMV15" s="120"/>
      <c r="AMW15" s="120"/>
      <c r="AMX15" s="120"/>
      <c r="AMY15" s="120"/>
      <c r="AMZ15" s="120"/>
      <c r="ANA15" s="120"/>
      <c r="ANB15" s="120"/>
      <c r="ANC15" s="120"/>
      <c r="AND15" s="120"/>
      <c r="ANE15" s="120"/>
      <c r="ANF15" s="120"/>
      <c r="ANG15" s="120"/>
      <c r="ANH15" s="120"/>
      <c r="ANI15" s="120"/>
      <c r="ANJ15" s="120"/>
      <c r="ANK15" s="120"/>
      <c r="ANL15" s="120"/>
      <c r="ANM15" s="120"/>
      <c r="ANN15" s="120"/>
      <c r="ANO15" s="120"/>
      <c r="ANP15" s="120"/>
      <c r="ANQ15" s="120"/>
      <c r="ANR15" s="120"/>
      <c r="ANS15" s="120"/>
      <c r="ANT15" s="120"/>
      <c r="ANU15" s="120"/>
      <c r="ANV15" s="120"/>
      <c r="ANW15" s="120"/>
      <c r="ANX15" s="120"/>
      <c r="ANY15" s="120"/>
      <c r="ANZ15" s="120"/>
      <c r="AOA15" s="120"/>
      <c r="AOB15" s="120"/>
      <c r="AOC15" s="120"/>
      <c r="AOD15" s="120"/>
      <c r="AOE15" s="120"/>
      <c r="AOF15" s="120"/>
      <c r="AOG15" s="120"/>
      <c r="AOH15" s="120"/>
      <c r="AOI15" s="120"/>
      <c r="AOJ15" s="120"/>
      <c r="AOK15" s="120"/>
      <c r="AOL15" s="120"/>
      <c r="AOM15" s="120"/>
      <c r="AON15" s="120"/>
      <c r="AOO15" s="120"/>
      <c r="AOP15" s="120"/>
      <c r="AOQ15" s="120"/>
      <c r="AOR15" s="120"/>
      <c r="AOS15" s="120"/>
      <c r="AOT15" s="120"/>
      <c r="AOU15" s="120"/>
      <c r="AOV15" s="120"/>
      <c r="AOW15" s="120"/>
      <c r="AOX15" s="120"/>
      <c r="AOY15" s="120"/>
      <c r="AOZ15" s="120"/>
      <c r="APA15" s="120"/>
      <c r="APB15" s="120"/>
      <c r="APC15" s="120"/>
      <c r="APD15" s="120"/>
      <c r="APE15" s="120"/>
      <c r="APF15" s="120"/>
      <c r="APG15" s="120"/>
      <c r="APH15" s="120"/>
      <c r="API15" s="120"/>
      <c r="APJ15" s="120"/>
      <c r="APK15" s="120"/>
      <c r="APL15" s="120"/>
      <c r="APM15" s="120"/>
      <c r="APN15" s="120"/>
      <c r="APO15" s="120"/>
      <c r="APP15" s="120"/>
      <c r="APQ15" s="120"/>
      <c r="APR15" s="120"/>
      <c r="APS15" s="120"/>
      <c r="APT15" s="120"/>
      <c r="APU15" s="120"/>
      <c r="APV15" s="120"/>
      <c r="APW15" s="120"/>
      <c r="APX15" s="120"/>
      <c r="APY15" s="120"/>
      <c r="APZ15" s="120"/>
      <c r="AQA15" s="120"/>
      <c r="AQB15" s="120"/>
      <c r="AQC15" s="120"/>
      <c r="AQD15" s="120"/>
      <c r="AQE15" s="120"/>
      <c r="AQF15" s="120"/>
      <c r="AQG15" s="120"/>
      <c r="AQH15" s="120"/>
      <c r="AQI15" s="120"/>
      <c r="AQJ15" s="120"/>
      <c r="AQK15" s="120"/>
      <c r="AQL15" s="120"/>
      <c r="AQM15" s="120"/>
      <c r="AQN15" s="120"/>
      <c r="AQO15" s="120"/>
      <c r="AQP15" s="120"/>
      <c r="AQQ15" s="120"/>
      <c r="AQR15" s="120"/>
      <c r="AQS15" s="120"/>
      <c r="AQT15" s="120"/>
      <c r="AQU15" s="120"/>
      <c r="AQV15" s="120"/>
      <c r="AQW15" s="120"/>
      <c r="AQX15" s="120"/>
      <c r="AQY15" s="120"/>
      <c r="AQZ15" s="120"/>
      <c r="ARA15" s="120"/>
      <c r="ARB15" s="120"/>
      <c r="ARC15" s="120"/>
      <c r="ARD15" s="120"/>
      <c r="ARE15" s="120"/>
      <c r="ARF15" s="120"/>
      <c r="ARG15" s="120"/>
      <c r="ARH15" s="120"/>
      <c r="ARI15" s="120"/>
      <c r="ARJ15" s="120"/>
      <c r="ARK15" s="120"/>
      <c r="ARL15" s="120"/>
      <c r="ARM15" s="120"/>
      <c r="ARN15" s="120"/>
      <c r="ARO15" s="120"/>
      <c r="ARP15" s="120"/>
      <c r="ARQ15" s="120"/>
      <c r="ARR15" s="120"/>
      <c r="ARS15" s="120"/>
      <c r="ART15" s="120"/>
      <c r="ARU15" s="120"/>
      <c r="ARV15" s="120"/>
      <c r="ARW15" s="120"/>
      <c r="ARX15" s="120"/>
      <c r="ARY15" s="120"/>
      <c r="ARZ15" s="120"/>
      <c r="ASA15" s="120"/>
      <c r="ASB15" s="120"/>
      <c r="ASC15" s="120"/>
      <c r="ASD15" s="120"/>
      <c r="ASE15" s="120"/>
      <c r="ASF15" s="120"/>
      <c r="ASG15" s="120"/>
      <c r="ASH15" s="120"/>
      <c r="ASI15" s="120"/>
      <c r="ASJ15" s="120"/>
      <c r="ASK15" s="120"/>
      <c r="ASL15" s="120"/>
      <c r="ASM15" s="120"/>
      <c r="ASN15" s="120"/>
      <c r="ASO15" s="120"/>
      <c r="ASP15" s="120"/>
      <c r="ASQ15" s="120"/>
      <c r="ASR15" s="120"/>
      <c r="ASS15" s="120"/>
      <c r="AST15" s="120"/>
      <c r="ASU15" s="120"/>
      <c r="ASV15" s="120"/>
      <c r="ASW15" s="120"/>
      <c r="ASX15" s="120"/>
      <c r="ASY15" s="120"/>
      <c r="ASZ15" s="120"/>
      <c r="ATA15" s="120"/>
      <c r="ATB15" s="120"/>
      <c r="ATC15" s="120"/>
      <c r="ATD15" s="120"/>
      <c r="ATE15" s="120"/>
      <c r="ATF15" s="120"/>
      <c r="ATG15" s="120"/>
      <c r="ATH15" s="120"/>
      <c r="ATI15" s="120"/>
      <c r="ATJ15" s="120"/>
      <c r="ATK15" s="120"/>
      <c r="ATL15" s="120"/>
      <c r="ATM15" s="120"/>
      <c r="ATN15" s="120"/>
      <c r="ATO15" s="120"/>
      <c r="ATP15" s="120"/>
      <c r="ATQ15" s="120"/>
      <c r="ATR15" s="120"/>
      <c r="ATS15" s="120"/>
      <c r="ATT15" s="120"/>
      <c r="ATU15" s="120"/>
      <c r="ATV15" s="120"/>
      <c r="ATW15" s="120"/>
      <c r="ATX15" s="120"/>
      <c r="ATY15" s="120"/>
      <c r="ATZ15" s="120"/>
      <c r="AUA15" s="120"/>
      <c r="AUB15" s="120"/>
      <c r="AUC15" s="120"/>
      <c r="AUD15" s="120"/>
      <c r="AUE15" s="120"/>
      <c r="AUF15" s="120"/>
      <c r="AUG15" s="120"/>
      <c r="AUH15" s="120"/>
      <c r="AUI15" s="120"/>
      <c r="AUJ15" s="120"/>
      <c r="AUK15" s="120"/>
      <c r="AUL15" s="120"/>
      <c r="AUM15" s="120"/>
      <c r="AUN15" s="120"/>
      <c r="AUO15" s="120"/>
      <c r="AUP15" s="120"/>
      <c r="AUQ15" s="120"/>
      <c r="AUR15" s="120"/>
      <c r="AUS15" s="120"/>
      <c r="AUT15" s="120"/>
      <c r="AUU15" s="120"/>
      <c r="AUV15" s="120"/>
      <c r="AUW15" s="120"/>
      <c r="AUX15" s="120"/>
      <c r="AUY15" s="120"/>
      <c r="AUZ15" s="120"/>
      <c r="AVA15" s="120"/>
      <c r="AVB15" s="120"/>
      <c r="AVC15" s="120"/>
      <c r="AVD15" s="120"/>
      <c r="AVE15" s="120"/>
      <c r="AVF15" s="120"/>
      <c r="AVG15" s="120"/>
      <c r="AVH15" s="120"/>
      <c r="AVI15" s="120"/>
      <c r="AVJ15" s="120"/>
      <c r="AVK15" s="120"/>
      <c r="AVL15" s="120"/>
      <c r="AVM15" s="120"/>
      <c r="AVN15" s="120"/>
      <c r="AVO15" s="120"/>
      <c r="AVP15" s="120"/>
      <c r="AVQ15" s="120"/>
      <c r="AVR15" s="120"/>
      <c r="AVS15" s="120"/>
      <c r="AVT15" s="120"/>
      <c r="AVU15" s="120"/>
      <c r="AVV15" s="120"/>
      <c r="AVW15" s="120"/>
      <c r="AVX15" s="120"/>
      <c r="AVY15" s="120"/>
      <c r="AVZ15" s="120"/>
      <c r="AWA15" s="120"/>
      <c r="AWB15" s="120"/>
      <c r="AWC15" s="120"/>
      <c r="AWD15" s="120"/>
      <c r="AWE15" s="120"/>
      <c r="AWF15" s="120"/>
      <c r="AWG15" s="120"/>
      <c r="AWH15" s="120"/>
      <c r="AWI15" s="120"/>
      <c r="AWJ15" s="120"/>
      <c r="AWK15" s="120"/>
      <c r="AWL15" s="120"/>
      <c r="AWM15" s="120"/>
    </row>
    <row r="16" spans="1:1287" s="464" customFormat="1" ht="53.4" thickBot="1">
      <c r="A16" s="447"/>
      <c r="B16" s="445" t="s">
        <v>76</v>
      </c>
      <c r="C16" s="445" t="s">
        <v>69</v>
      </c>
      <c r="D16" s="448"/>
      <c r="E16" s="448"/>
      <c r="F16" s="449"/>
      <c r="G16" s="450"/>
      <c r="H16" s="448"/>
      <c r="I16" s="450"/>
      <c r="J16" s="451"/>
      <c r="K16" s="448"/>
      <c r="L16" s="448"/>
      <c r="M16" s="450"/>
      <c r="N16" s="448"/>
      <c r="O16" s="445" t="s">
        <v>102</v>
      </c>
      <c r="P16" s="451"/>
      <c r="Q16" s="448"/>
      <c r="R16" s="448"/>
      <c r="S16" s="452"/>
      <c r="T16" s="453"/>
      <c r="U16" s="454"/>
      <c r="V16" s="455"/>
      <c r="W16" s="455"/>
      <c r="X16" s="453"/>
      <c r="Y16" s="454"/>
      <c r="Z16" s="448"/>
      <c r="AA16" s="448"/>
      <c r="AB16" s="448"/>
      <c r="AC16" s="446" t="s">
        <v>62</v>
      </c>
      <c r="AD16" s="456" t="s">
        <v>2439</v>
      </c>
      <c r="AE16" s="456"/>
      <c r="AF16" s="457"/>
      <c r="AG16" s="458" t="s">
        <v>2322</v>
      </c>
      <c r="AH16" s="445" t="s">
        <v>77</v>
      </c>
      <c r="AI16" s="445" t="s">
        <v>86</v>
      </c>
      <c r="AJ16" s="459" t="s">
        <v>2323</v>
      </c>
      <c r="AK16" s="460"/>
      <c r="AL16" s="461"/>
      <c r="AM16" s="462"/>
      <c r="AN16" s="463"/>
      <c r="AO16" s="447"/>
      <c r="AP16" s="463"/>
      <c r="AQ16" s="447"/>
      <c r="AR16" s="463"/>
      <c r="AS16" s="447"/>
      <c r="AT16" s="447"/>
      <c r="AU16" s="447"/>
      <c r="AV16" s="447"/>
      <c r="AW16" s="447"/>
      <c r="AX16" s="447"/>
      <c r="AY16" s="447"/>
      <c r="AZ16" s="447"/>
      <c r="BA16" s="447"/>
      <c r="BB16" s="447"/>
      <c r="BC16" s="447"/>
      <c r="BD16" s="447"/>
      <c r="BE16" s="447"/>
      <c r="BF16" s="447"/>
      <c r="BG16" s="447"/>
      <c r="BH16" s="447"/>
      <c r="BI16" s="447"/>
      <c r="BJ16" s="447"/>
      <c r="BK16" s="447"/>
      <c r="BL16" s="447"/>
      <c r="BM16" s="447"/>
      <c r="BN16" s="447"/>
      <c r="BO16" s="447"/>
      <c r="BP16" s="447"/>
      <c r="BQ16" s="447"/>
      <c r="BR16" s="447"/>
      <c r="BS16" s="447"/>
      <c r="BT16" s="447"/>
      <c r="BU16" s="447"/>
      <c r="BV16" s="447"/>
      <c r="BW16" s="447"/>
      <c r="BX16" s="447"/>
      <c r="BY16" s="447"/>
      <c r="BZ16" s="447"/>
      <c r="CA16" s="447"/>
      <c r="CB16" s="447"/>
      <c r="CC16" s="447"/>
      <c r="CD16" s="447"/>
      <c r="CE16" s="447"/>
      <c r="CF16" s="447"/>
      <c r="CG16" s="447"/>
      <c r="CH16" s="447"/>
      <c r="CI16" s="447"/>
      <c r="CJ16" s="447"/>
      <c r="CK16" s="447"/>
      <c r="CL16" s="447"/>
      <c r="CM16" s="447"/>
      <c r="CN16" s="447"/>
      <c r="CO16" s="447"/>
      <c r="CP16" s="447"/>
      <c r="CQ16" s="447"/>
      <c r="CR16" s="447"/>
      <c r="CS16" s="447"/>
      <c r="CT16" s="447"/>
      <c r="CU16" s="447"/>
      <c r="CV16" s="447"/>
      <c r="CW16" s="447"/>
      <c r="CX16" s="447"/>
      <c r="CY16" s="447"/>
      <c r="CZ16" s="447"/>
      <c r="DA16" s="447"/>
      <c r="DB16" s="447"/>
      <c r="DC16" s="447"/>
      <c r="DD16" s="447"/>
      <c r="DE16" s="447"/>
      <c r="DF16" s="447"/>
      <c r="DG16" s="447"/>
      <c r="DH16" s="447"/>
      <c r="DI16" s="447"/>
      <c r="DJ16" s="447"/>
      <c r="DK16" s="447"/>
      <c r="DL16" s="447"/>
      <c r="DM16" s="447"/>
      <c r="DN16" s="447"/>
      <c r="DO16" s="447"/>
      <c r="DP16" s="447"/>
      <c r="DQ16" s="447"/>
      <c r="DR16" s="447"/>
      <c r="DS16" s="447"/>
      <c r="DT16" s="447"/>
      <c r="DU16" s="447"/>
      <c r="DV16" s="447"/>
      <c r="DW16" s="447"/>
      <c r="DX16" s="447"/>
      <c r="DY16" s="447"/>
      <c r="DZ16" s="447"/>
      <c r="EA16" s="447"/>
      <c r="EB16" s="447"/>
      <c r="EC16" s="447"/>
      <c r="ED16" s="447"/>
      <c r="EE16" s="447"/>
      <c r="EF16" s="447"/>
      <c r="EG16" s="447"/>
      <c r="EH16" s="447"/>
      <c r="EI16" s="447"/>
      <c r="EJ16" s="447"/>
      <c r="EK16" s="447"/>
      <c r="EL16" s="447"/>
      <c r="EM16" s="447"/>
      <c r="EN16" s="447"/>
      <c r="EO16" s="447"/>
      <c r="EP16" s="447"/>
      <c r="EQ16" s="447"/>
      <c r="ER16" s="447"/>
      <c r="ES16" s="447"/>
      <c r="ET16" s="447"/>
      <c r="EU16" s="447"/>
      <c r="EV16" s="447"/>
      <c r="EW16" s="447"/>
      <c r="EX16" s="447"/>
      <c r="EY16" s="447"/>
      <c r="EZ16" s="447"/>
      <c r="FA16" s="447"/>
      <c r="FB16" s="447"/>
      <c r="FC16" s="447"/>
      <c r="FD16" s="447"/>
      <c r="FE16" s="447"/>
      <c r="FF16" s="447"/>
      <c r="FG16" s="447"/>
      <c r="FH16" s="447"/>
      <c r="FI16" s="447"/>
      <c r="FJ16" s="447"/>
      <c r="FK16" s="447"/>
      <c r="FL16" s="447"/>
      <c r="FM16" s="447"/>
      <c r="FN16" s="447"/>
      <c r="FO16" s="447"/>
      <c r="FP16" s="447"/>
      <c r="FQ16" s="447"/>
      <c r="FR16" s="447"/>
      <c r="FS16" s="447"/>
      <c r="FT16" s="447"/>
      <c r="FU16" s="447"/>
      <c r="FV16" s="447"/>
      <c r="FW16" s="447"/>
      <c r="FX16" s="447"/>
      <c r="FY16" s="447"/>
      <c r="FZ16" s="447"/>
      <c r="GA16" s="447"/>
      <c r="GB16" s="447"/>
      <c r="GC16" s="447"/>
      <c r="GD16" s="447"/>
      <c r="GE16" s="447"/>
      <c r="GF16" s="447"/>
      <c r="GG16" s="447"/>
      <c r="GH16" s="447"/>
      <c r="GI16" s="447"/>
      <c r="GJ16" s="447"/>
      <c r="GK16" s="447"/>
      <c r="GL16" s="447"/>
      <c r="GM16" s="447"/>
      <c r="GN16" s="447"/>
      <c r="GO16" s="447"/>
      <c r="GP16" s="447"/>
      <c r="GQ16" s="447"/>
      <c r="GR16" s="447"/>
      <c r="GS16" s="447"/>
      <c r="GT16" s="447"/>
      <c r="GU16" s="447"/>
      <c r="GV16" s="447"/>
      <c r="GW16" s="447"/>
      <c r="GX16" s="447"/>
      <c r="GY16" s="447"/>
      <c r="GZ16" s="447"/>
      <c r="HA16" s="447"/>
      <c r="HB16" s="447"/>
      <c r="HC16" s="447"/>
      <c r="HD16" s="447"/>
      <c r="HE16" s="447"/>
      <c r="HF16" s="447"/>
      <c r="HG16" s="447"/>
      <c r="HH16" s="447"/>
      <c r="HI16" s="447"/>
      <c r="HJ16" s="447"/>
      <c r="HK16" s="447"/>
      <c r="HL16" s="447"/>
      <c r="HM16" s="447"/>
      <c r="HN16" s="447"/>
      <c r="HO16" s="447"/>
      <c r="HP16" s="447"/>
      <c r="HQ16" s="447"/>
      <c r="HR16" s="447"/>
      <c r="HS16" s="447"/>
      <c r="HT16" s="447"/>
      <c r="HU16" s="447"/>
      <c r="HV16" s="447"/>
      <c r="HW16" s="447"/>
      <c r="HX16" s="447"/>
      <c r="HY16" s="447"/>
      <c r="HZ16" s="447"/>
      <c r="IA16" s="447"/>
      <c r="IB16" s="447"/>
      <c r="IC16" s="447"/>
      <c r="ID16" s="447"/>
      <c r="IE16" s="447"/>
      <c r="IF16" s="447"/>
      <c r="IG16" s="447"/>
      <c r="IH16" s="447"/>
      <c r="II16" s="447"/>
      <c r="IJ16" s="447"/>
      <c r="IK16" s="447"/>
      <c r="IL16" s="447"/>
      <c r="IM16" s="447"/>
      <c r="IN16" s="447"/>
      <c r="IO16" s="447"/>
      <c r="IP16" s="447"/>
      <c r="IQ16" s="447"/>
      <c r="IR16" s="447"/>
      <c r="IS16" s="447"/>
      <c r="IT16" s="447"/>
      <c r="IU16" s="447"/>
      <c r="IV16" s="447"/>
      <c r="IW16" s="447"/>
      <c r="IX16" s="447"/>
      <c r="IY16" s="447"/>
      <c r="IZ16" s="447"/>
      <c r="JA16" s="447"/>
      <c r="JB16" s="447"/>
      <c r="JC16" s="447"/>
      <c r="JD16" s="447"/>
      <c r="JE16" s="447"/>
      <c r="JF16" s="447"/>
      <c r="JG16" s="447"/>
      <c r="JH16" s="447"/>
      <c r="JI16" s="447"/>
      <c r="JJ16" s="447"/>
      <c r="JK16" s="447"/>
      <c r="JL16" s="447"/>
      <c r="JM16" s="447"/>
      <c r="JN16" s="447"/>
      <c r="JO16" s="447"/>
      <c r="JP16" s="447"/>
      <c r="JQ16" s="447"/>
      <c r="JR16" s="447"/>
      <c r="JS16" s="447"/>
      <c r="JT16" s="447"/>
      <c r="JU16" s="447"/>
      <c r="JV16" s="447"/>
      <c r="JW16" s="447"/>
      <c r="JX16" s="447"/>
      <c r="JY16" s="447"/>
      <c r="JZ16" s="447"/>
      <c r="KA16" s="447"/>
      <c r="KB16" s="447"/>
      <c r="KC16" s="447"/>
      <c r="KD16" s="447"/>
      <c r="KE16" s="447"/>
      <c r="KF16" s="447"/>
      <c r="KG16" s="447"/>
      <c r="KH16" s="447"/>
      <c r="KI16" s="447"/>
      <c r="KJ16" s="447"/>
      <c r="KK16" s="447"/>
      <c r="KL16" s="447"/>
      <c r="KM16" s="447"/>
      <c r="KN16" s="447"/>
      <c r="KO16" s="447"/>
      <c r="KP16" s="447"/>
      <c r="KQ16" s="447"/>
      <c r="KR16" s="447"/>
      <c r="KS16" s="447"/>
      <c r="KT16" s="447"/>
      <c r="KU16" s="447"/>
      <c r="KV16" s="447"/>
      <c r="KW16" s="447"/>
      <c r="KX16" s="447"/>
      <c r="KY16" s="447"/>
      <c r="KZ16" s="447"/>
      <c r="LA16" s="447"/>
      <c r="LB16" s="447"/>
      <c r="LC16" s="447"/>
      <c r="LD16" s="447"/>
      <c r="LE16" s="447"/>
      <c r="LF16" s="447"/>
      <c r="LG16" s="447"/>
      <c r="LH16" s="447"/>
      <c r="LI16" s="447"/>
      <c r="LJ16" s="447"/>
      <c r="LK16" s="447"/>
      <c r="LL16" s="447"/>
      <c r="LM16" s="447"/>
      <c r="LN16" s="447"/>
      <c r="LO16" s="447"/>
      <c r="LP16" s="447"/>
      <c r="LQ16" s="447"/>
      <c r="LR16" s="447"/>
      <c r="LS16" s="447"/>
      <c r="LT16" s="447"/>
      <c r="LU16" s="447"/>
      <c r="LV16" s="447"/>
      <c r="LW16" s="447"/>
      <c r="LX16" s="447"/>
      <c r="LY16" s="447"/>
      <c r="LZ16" s="447"/>
      <c r="MA16" s="447"/>
      <c r="MB16" s="447"/>
      <c r="MC16" s="447"/>
      <c r="MD16" s="447"/>
      <c r="ME16" s="447"/>
      <c r="MF16" s="447"/>
      <c r="MG16" s="447"/>
      <c r="MH16" s="447"/>
      <c r="MI16" s="447"/>
      <c r="MJ16" s="447"/>
      <c r="MK16" s="447"/>
      <c r="ML16" s="447"/>
      <c r="MM16" s="447"/>
      <c r="MN16" s="447"/>
      <c r="MO16" s="447"/>
      <c r="MP16" s="447"/>
      <c r="MQ16" s="447"/>
      <c r="MR16" s="447"/>
      <c r="MS16" s="447"/>
      <c r="MT16" s="447"/>
      <c r="MU16" s="447"/>
      <c r="MV16" s="447"/>
      <c r="MW16" s="447"/>
      <c r="MX16" s="447"/>
      <c r="MY16" s="447"/>
      <c r="MZ16" s="447"/>
      <c r="NA16" s="447"/>
      <c r="NB16" s="447"/>
      <c r="NC16" s="447"/>
      <c r="ND16" s="447"/>
      <c r="NE16" s="447"/>
      <c r="NF16" s="447"/>
      <c r="NG16" s="447"/>
      <c r="NH16" s="447"/>
      <c r="NI16" s="447"/>
      <c r="NJ16" s="447"/>
      <c r="NK16" s="447"/>
      <c r="NL16" s="447"/>
      <c r="NM16" s="447"/>
      <c r="NN16" s="447"/>
      <c r="NO16" s="447"/>
      <c r="NP16" s="447"/>
      <c r="NQ16" s="447"/>
      <c r="NR16" s="447"/>
      <c r="NS16" s="447"/>
      <c r="NT16" s="447"/>
      <c r="NU16" s="447"/>
      <c r="NV16" s="447"/>
      <c r="NW16" s="447"/>
      <c r="NX16" s="447"/>
      <c r="NY16" s="447"/>
      <c r="NZ16" s="447"/>
      <c r="OA16" s="447"/>
      <c r="OB16" s="447"/>
      <c r="OC16" s="447"/>
      <c r="OD16" s="447"/>
      <c r="OE16" s="447"/>
      <c r="OF16" s="447"/>
      <c r="OG16" s="447"/>
      <c r="OH16" s="447"/>
      <c r="OI16" s="447"/>
      <c r="OJ16" s="447"/>
      <c r="OK16" s="447"/>
      <c r="OL16" s="447"/>
      <c r="OM16" s="447"/>
      <c r="ON16" s="447"/>
      <c r="OO16" s="447"/>
      <c r="OP16" s="447"/>
      <c r="OQ16" s="447"/>
      <c r="OR16" s="447"/>
      <c r="OS16" s="447"/>
      <c r="OT16" s="447"/>
      <c r="OU16" s="447"/>
      <c r="OV16" s="447"/>
      <c r="OW16" s="447"/>
      <c r="OX16" s="447"/>
      <c r="OY16" s="447"/>
      <c r="OZ16" s="447"/>
      <c r="PA16" s="447"/>
      <c r="PB16" s="447"/>
      <c r="PC16" s="447"/>
      <c r="PD16" s="447"/>
      <c r="PE16" s="447"/>
      <c r="PF16" s="447"/>
      <c r="PG16" s="447"/>
      <c r="PH16" s="447"/>
      <c r="PI16" s="447"/>
      <c r="PJ16" s="447"/>
      <c r="PK16" s="447"/>
      <c r="PL16" s="447"/>
      <c r="PM16" s="447"/>
      <c r="PN16" s="447"/>
      <c r="PO16" s="447"/>
      <c r="PP16" s="447"/>
      <c r="PQ16" s="447"/>
      <c r="PR16" s="447"/>
      <c r="PS16" s="447"/>
      <c r="PT16" s="447"/>
      <c r="PU16" s="447"/>
      <c r="PV16" s="447"/>
      <c r="PW16" s="447"/>
      <c r="PX16" s="447"/>
      <c r="PY16" s="447"/>
      <c r="PZ16" s="447"/>
      <c r="QA16" s="447"/>
      <c r="QB16" s="447"/>
      <c r="QC16" s="447"/>
      <c r="QD16" s="447"/>
      <c r="QE16" s="447"/>
      <c r="QF16" s="447"/>
      <c r="QG16" s="447"/>
      <c r="QH16" s="447"/>
      <c r="QI16" s="447"/>
      <c r="QJ16" s="447"/>
      <c r="QK16" s="447"/>
      <c r="QL16" s="447"/>
      <c r="QM16" s="447"/>
      <c r="QN16" s="447"/>
      <c r="QO16" s="447"/>
      <c r="QP16" s="447"/>
      <c r="QQ16" s="447"/>
      <c r="QR16" s="447"/>
      <c r="QS16" s="447"/>
      <c r="QT16" s="447"/>
      <c r="QU16" s="447"/>
      <c r="QV16" s="447"/>
      <c r="QW16" s="447"/>
      <c r="QX16" s="447"/>
      <c r="QY16" s="447"/>
      <c r="QZ16" s="447"/>
      <c r="RA16" s="447"/>
      <c r="RB16" s="447"/>
      <c r="RC16" s="447"/>
      <c r="RD16" s="447"/>
      <c r="RE16" s="447"/>
      <c r="RF16" s="447"/>
      <c r="RG16" s="447"/>
      <c r="RH16" s="447"/>
      <c r="RI16" s="447"/>
      <c r="RJ16" s="447"/>
      <c r="RK16" s="447"/>
      <c r="RL16" s="447"/>
      <c r="RM16" s="447"/>
      <c r="RN16" s="447"/>
      <c r="RO16" s="447"/>
      <c r="RP16" s="447"/>
      <c r="RQ16" s="447"/>
      <c r="RR16" s="447"/>
      <c r="RS16" s="447"/>
      <c r="RT16" s="447"/>
      <c r="RU16" s="447"/>
      <c r="RV16" s="447"/>
      <c r="RW16" s="447"/>
      <c r="RX16" s="447"/>
      <c r="RY16" s="447"/>
      <c r="RZ16" s="447"/>
      <c r="SA16" s="447"/>
      <c r="SB16" s="447"/>
      <c r="SC16" s="447"/>
      <c r="SD16" s="447"/>
      <c r="SE16" s="447"/>
      <c r="SF16" s="447"/>
      <c r="SG16" s="447"/>
      <c r="SH16" s="447"/>
      <c r="SI16" s="447"/>
      <c r="SJ16" s="447"/>
      <c r="SK16" s="447"/>
      <c r="SL16" s="447"/>
      <c r="SM16" s="447"/>
      <c r="SN16" s="447"/>
      <c r="SO16" s="447"/>
      <c r="SP16" s="447"/>
      <c r="SQ16" s="447"/>
      <c r="SR16" s="447"/>
      <c r="SS16" s="447"/>
      <c r="ST16" s="447"/>
      <c r="SU16" s="447"/>
      <c r="SV16" s="447"/>
      <c r="SW16" s="447"/>
      <c r="SX16" s="447"/>
      <c r="SY16" s="447"/>
      <c r="SZ16" s="447"/>
      <c r="TA16" s="447"/>
      <c r="TB16" s="447"/>
      <c r="TC16" s="447"/>
      <c r="TD16" s="447"/>
      <c r="TE16" s="447"/>
      <c r="TF16" s="447"/>
      <c r="TG16" s="447"/>
      <c r="TH16" s="447"/>
      <c r="TI16" s="447"/>
      <c r="TJ16" s="447"/>
      <c r="TK16" s="447"/>
      <c r="TL16" s="447"/>
      <c r="TM16" s="447"/>
      <c r="TN16" s="447"/>
      <c r="TO16" s="447"/>
      <c r="TP16" s="447"/>
      <c r="TQ16" s="447"/>
      <c r="TR16" s="447"/>
      <c r="TS16" s="447"/>
      <c r="TT16" s="447"/>
      <c r="TU16" s="447"/>
      <c r="TV16" s="447"/>
      <c r="TW16" s="447"/>
      <c r="TX16" s="447"/>
      <c r="TY16" s="447"/>
      <c r="TZ16" s="447"/>
      <c r="UA16" s="447"/>
      <c r="UB16" s="447"/>
      <c r="UC16" s="447"/>
      <c r="UD16" s="447"/>
      <c r="UE16" s="447"/>
      <c r="UF16" s="447"/>
      <c r="UG16" s="447"/>
      <c r="UH16" s="447"/>
      <c r="UI16" s="447"/>
      <c r="UJ16" s="447"/>
      <c r="UK16" s="447"/>
      <c r="UL16" s="447"/>
      <c r="UM16" s="447"/>
      <c r="UN16" s="447"/>
      <c r="UO16" s="447"/>
      <c r="UP16" s="447"/>
      <c r="UQ16" s="447"/>
      <c r="UR16" s="447"/>
      <c r="US16" s="447"/>
      <c r="UT16" s="447"/>
      <c r="UU16" s="447"/>
      <c r="UV16" s="447"/>
      <c r="UW16" s="447"/>
      <c r="UX16" s="447"/>
      <c r="UY16" s="447"/>
      <c r="UZ16" s="447"/>
      <c r="VA16" s="447"/>
      <c r="VB16" s="447"/>
      <c r="VC16" s="447"/>
      <c r="VD16" s="447"/>
      <c r="VE16" s="447"/>
      <c r="VF16" s="447"/>
      <c r="VG16" s="447"/>
      <c r="VH16" s="447"/>
      <c r="VI16" s="447"/>
      <c r="VJ16" s="447"/>
      <c r="VK16" s="447"/>
      <c r="VL16" s="447"/>
      <c r="VM16" s="447"/>
      <c r="VN16" s="447"/>
      <c r="VO16" s="447"/>
      <c r="VP16" s="447"/>
      <c r="VQ16" s="447"/>
      <c r="VR16" s="447"/>
      <c r="VS16" s="447"/>
      <c r="VT16" s="447"/>
      <c r="VU16" s="447"/>
      <c r="VV16" s="447"/>
      <c r="VW16" s="447"/>
      <c r="VX16" s="447"/>
      <c r="VY16" s="447"/>
      <c r="VZ16" s="447"/>
      <c r="WA16" s="447"/>
      <c r="WB16" s="447"/>
      <c r="WC16" s="447"/>
      <c r="WD16" s="447"/>
      <c r="WE16" s="447"/>
      <c r="WF16" s="447"/>
      <c r="WG16" s="447"/>
      <c r="WH16" s="447"/>
      <c r="WI16" s="447"/>
      <c r="WJ16" s="447"/>
      <c r="WK16" s="447"/>
      <c r="WL16" s="447"/>
      <c r="WM16" s="447"/>
      <c r="WN16" s="447"/>
      <c r="WO16" s="447"/>
      <c r="WP16" s="447"/>
      <c r="WQ16" s="447"/>
      <c r="WR16" s="447"/>
      <c r="WS16" s="447"/>
      <c r="WT16" s="447"/>
      <c r="WU16" s="447"/>
      <c r="WV16" s="447"/>
      <c r="WW16" s="447"/>
      <c r="WX16" s="447"/>
      <c r="WY16" s="447"/>
      <c r="WZ16" s="447"/>
      <c r="XA16" s="447"/>
      <c r="XB16" s="447"/>
      <c r="XC16" s="447"/>
      <c r="XD16" s="447"/>
      <c r="XE16" s="447"/>
      <c r="XF16" s="447"/>
      <c r="XG16" s="447"/>
      <c r="XH16" s="447"/>
      <c r="XI16" s="447"/>
      <c r="XJ16" s="447"/>
      <c r="XK16" s="447"/>
      <c r="XL16" s="447"/>
      <c r="XM16" s="447"/>
      <c r="XN16" s="447"/>
      <c r="XO16" s="447"/>
      <c r="XP16" s="447"/>
      <c r="XQ16" s="447"/>
      <c r="XR16" s="447"/>
      <c r="XS16" s="447"/>
      <c r="XT16" s="447"/>
      <c r="XU16" s="447"/>
      <c r="XV16" s="447"/>
      <c r="XW16" s="447"/>
      <c r="XX16" s="447"/>
      <c r="XY16" s="447"/>
      <c r="XZ16" s="447"/>
      <c r="YA16" s="447"/>
      <c r="YB16" s="447"/>
      <c r="YC16" s="447"/>
      <c r="YD16" s="447"/>
      <c r="YE16" s="447"/>
      <c r="YF16" s="447"/>
      <c r="YG16" s="447"/>
      <c r="YH16" s="447"/>
      <c r="YI16" s="447"/>
      <c r="YJ16" s="447"/>
      <c r="YK16" s="447"/>
      <c r="YL16" s="447"/>
      <c r="YM16" s="447"/>
      <c r="YN16" s="447"/>
      <c r="YO16" s="447"/>
      <c r="YP16" s="447"/>
      <c r="YQ16" s="447"/>
      <c r="YR16" s="447"/>
      <c r="YS16" s="447"/>
      <c r="YT16" s="447"/>
      <c r="YU16" s="447"/>
      <c r="YV16" s="447"/>
      <c r="YW16" s="447"/>
      <c r="YX16" s="447"/>
      <c r="YY16" s="447"/>
      <c r="YZ16" s="447"/>
      <c r="ZA16" s="447"/>
      <c r="ZB16" s="447"/>
      <c r="ZC16" s="447"/>
      <c r="ZD16" s="447"/>
      <c r="ZE16" s="447"/>
      <c r="ZF16" s="447"/>
      <c r="ZG16" s="447"/>
      <c r="ZH16" s="447"/>
      <c r="ZI16" s="447"/>
      <c r="ZJ16" s="447"/>
      <c r="ZK16" s="447"/>
      <c r="ZL16" s="447"/>
      <c r="ZM16" s="447"/>
      <c r="ZN16" s="447"/>
      <c r="ZO16" s="447"/>
      <c r="ZP16" s="447"/>
      <c r="ZQ16" s="447"/>
      <c r="ZR16" s="447"/>
      <c r="ZS16" s="447"/>
      <c r="ZT16" s="447"/>
      <c r="ZU16" s="447"/>
      <c r="ZV16" s="447"/>
      <c r="ZW16" s="447"/>
      <c r="ZX16" s="447"/>
      <c r="ZY16" s="447"/>
      <c r="ZZ16" s="447"/>
      <c r="AAA16" s="447"/>
      <c r="AAB16" s="447"/>
      <c r="AAC16" s="447"/>
      <c r="AAD16" s="447"/>
      <c r="AAE16" s="447"/>
      <c r="AAF16" s="447"/>
      <c r="AAG16" s="447"/>
      <c r="AAH16" s="447"/>
      <c r="AAI16" s="447"/>
      <c r="AAJ16" s="447"/>
      <c r="AAK16" s="447"/>
      <c r="AAL16" s="447"/>
      <c r="AAM16" s="447"/>
      <c r="AAN16" s="447"/>
      <c r="AAO16" s="447"/>
      <c r="AAP16" s="447"/>
      <c r="AAQ16" s="447"/>
      <c r="AAR16" s="447"/>
      <c r="AAS16" s="447"/>
      <c r="AAT16" s="447"/>
      <c r="AAU16" s="447"/>
      <c r="AAV16" s="447"/>
      <c r="AAW16" s="447"/>
      <c r="AAX16" s="447"/>
      <c r="AAY16" s="447"/>
      <c r="AAZ16" s="447"/>
      <c r="ABA16" s="447"/>
      <c r="ABB16" s="447"/>
      <c r="ABC16" s="447"/>
      <c r="ABD16" s="447"/>
      <c r="ABE16" s="447"/>
      <c r="ABF16" s="447"/>
      <c r="ABG16" s="447"/>
      <c r="ABH16" s="447"/>
      <c r="ABI16" s="447"/>
      <c r="ABJ16" s="447"/>
      <c r="ABK16" s="447"/>
      <c r="ABL16" s="447"/>
      <c r="ABM16" s="447"/>
      <c r="ABN16" s="447"/>
      <c r="ABO16" s="447"/>
      <c r="ABP16" s="447"/>
      <c r="ABQ16" s="447"/>
      <c r="ABR16" s="447"/>
      <c r="ABS16" s="447"/>
      <c r="ABT16" s="447"/>
      <c r="ABU16" s="447"/>
      <c r="ABV16" s="447"/>
      <c r="ABW16" s="447"/>
      <c r="ABX16" s="447"/>
      <c r="ABY16" s="447"/>
      <c r="ABZ16" s="447"/>
      <c r="ACA16" s="447"/>
      <c r="ACB16" s="447"/>
      <c r="ACC16" s="447"/>
      <c r="ACD16" s="447"/>
      <c r="ACE16" s="447"/>
      <c r="ACF16" s="447"/>
      <c r="ACG16" s="447"/>
      <c r="ACH16" s="447"/>
      <c r="ACI16" s="447"/>
      <c r="ACJ16" s="447"/>
      <c r="ACK16" s="447"/>
      <c r="ACL16" s="447"/>
      <c r="ACM16" s="447"/>
      <c r="ACN16" s="447"/>
      <c r="ACO16" s="447"/>
      <c r="ACP16" s="447"/>
      <c r="ACQ16" s="447"/>
      <c r="ACR16" s="447"/>
      <c r="ACS16" s="447"/>
      <c r="ACT16" s="447"/>
      <c r="ACU16" s="447"/>
      <c r="ACV16" s="447"/>
      <c r="ACW16" s="447"/>
      <c r="ACX16" s="447"/>
      <c r="ACY16" s="447"/>
      <c r="ACZ16" s="447"/>
      <c r="ADA16" s="447"/>
      <c r="ADB16" s="447"/>
      <c r="ADC16" s="447"/>
      <c r="ADD16" s="447"/>
      <c r="ADE16" s="447"/>
      <c r="ADF16" s="447"/>
      <c r="ADG16" s="447"/>
      <c r="ADH16" s="447"/>
      <c r="ADI16" s="447"/>
      <c r="ADJ16" s="447"/>
      <c r="ADK16" s="447"/>
      <c r="ADL16" s="447"/>
      <c r="ADM16" s="447"/>
      <c r="ADN16" s="447"/>
      <c r="ADO16" s="447"/>
      <c r="ADP16" s="447"/>
      <c r="ADQ16" s="447"/>
      <c r="ADR16" s="447"/>
      <c r="ADS16" s="447"/>
      <c r="ADT16" s="447"/>
      <c r="ADU16" s="447"/>
      <c r="ADV16" s="447"/>
      <c r="ADW16" s="447"/>
      <c r="ADX16" s="447"/>
      <c r="ADY16" s="447"/>
      <c r="ADZ16" s="447"/>
      <c r="AEA16" s="447"/>
      <c r="AEB16" s="447"/>
      <c r="AEC16" s="447"/>
      <c r="AED16" s="447"/>
      <c r="AEE16" s="447"/>
      <c r="AEF16" s="447"/>
      <c r="AEG16" s="447"/>
      <c r="AEH16" s="447"/>
      <c r="AEI16" s="447"/>
      <c r="AEJ16" s="447"/>
      <c r="AEK16" s="447"/>
      <c r="AEL16" s="447"/>
      <c r="AEM16" s="447"/>
      <c r="AEN16" s="447"/>
      <c r="AEO16" s="447"/>
      <c r="AEP16" s="447"/>
      <c r="AEQ16" s="447"/>
      <c r="AER16" s="447"/>
      <c r="AES16" s="447"/>
      <c r="AET16" s="447"/>
      <c r="AEU16" s="447"/>
      <c r="AEV16" s="447"/>
      <c r="AEW16" s="447"/>
      <c r="AEX16" s="447"/>
      <c r="AEY16" s="447"/>
      <c r="AEZ16" s="447"/>
      <c r="AFA16" s="447"/>
      <c r="AFB16" s="447"/>
      <c r="AFC16" s="447"/>
      <c r="AFD16" s="447"/>
      <c r="AFE16" s="447"/>
      <c r="AFF16" s="447"/>
      <c r="AFG16" s="447"/>
      <c r="AFH16" s="447"/>
      <c r="AFI16" s="447"/>
      <c r="AFJ16" s="447"/>
      <c r="AFK16" s="447"/>
      <c r="AFL16" s="447"/>
      <c r="AFM16" s="447"/>
      <c r="AFN16" s="447"/>
      <c r="AFO16" s="447"/>
      <c r="AFP16" s="447"/>
      <c r="AFQ16" s="447"/>
      <c r="AFR16" s="447"/>
      <c r="AFS16" s="447"/>
      <c r="AFT16" s="447"/>
      <c r="AFU16" s="447"/>
      <c r="AFV16" s="447"/>
      <c r="AFW16" s="447"/>
      <c r="AFX16" s="447"/>
      <c r="AFY16" s="447"/>
      <c r="AFZ16" s="447"/>
      <c r="AGA16" s="447"/>
      <c r="AGB16" s="447"/>
      <c r="AGC16" s="447"/>
      <c r="AGD16" s="447"/>
      <c r="AGE16" s="447"/>
      <c r="AGF16" s="447"/>
      <c r="AGG16" s="447"/>
      <c r="AGH16" s="447"/>
      <c r="AGI16" s="447"/>
      <c r="AGJ16" s="447"/>
      <c r="AGK16" s="447"/>
      <c r="AGL16" s="447"/>
      <c r="AGM16" s="447"/>
      <c r="AGN16" s="447"/>
      <c r="AGO16" s="447"/>
      <c r="AGP16" s="447"/>
      <c r="AGQ16" s="447"/>
      <c r="AGR16" s="447"/>
      <c r="AGS16" s="447"/>
      <c r="AGT16" s="447"/>
      <c r="AGU16" s="447"/>
      <c r="AGV16" s="447"/>
      <c r="AGW16" s="447"/>
      <c r="AGX16" s="447"/>
      <c r="AGY16" s="447"/>
      <c r="AGZ16" s="447"/>
      <c r="AHA16" s="447"/>
      <c r="AHB16" s="447"/>
      <c r="AHC16" s="447"/>
      <c r="AHD16" s="447"/>
      <c r="AHE16" s="447"/>
      <c r="AHF16" s="447"/>
      <c r="AHG16" s="447"/>
      <c r="AHH16" s="447"/>
      <c r="AHI16" s="447"/>
      <c r="AHJ16" s="447"/>
      <c r="AHK16" s="447"/>
      <c r="AHL16" s="447"/>
      <c r="AHM16" s="447"/>
      <c r="AHN16" s="447"/>
      <c r="AHO16" s="447"/>
      <c r="AHP16" s="447"/>
      <c r="AHQ16" s="447"/>
      <c r="AHR16" s="447"/>
      <c r="AHS16" s="447"/>
      <c r="AHT16" s="447"/>
      <c r="AHU16" s="447"/>
      <c r="AHV16" s="447"/>
      <c r="AHW16" s="447"/>
      <c r="AHX16" s="447"/>
      <c r="AHY16" s="447"/>
      <c r="AHZ16" s="447"/>
      <c r="AIA16" s="447"/>
      <c r="AIB16" s="447"/>
      <c r="AIC16" s="447"/>
      <c r="AID16" s="447"/>
      <c r="AIE16" s="447"/>
      <c r="AIF16" s="447"/>
      <c r="AIG16" s="447"/>
      <c r="AIH16" s="447"/>
      <c r="AII16" s="447"/>
      <c r="AIJ16" s="447"/>
      <c r="AIK16" s="447"/>
      <c r="AIL16" s="447"/>
      <c r="AIM16" s="447"/>
      <c r="AIN16" s="447"/>
      <c r="AIO16" s="447"/>
      <c r="AIP16" s="447"/>
      <c r="AIQ16" s="447"/>
      <c r="AIR16" s="447"/>
      <c r="AIS16" s="447"/>
      <c r="AIT16" s="447"/>
      <c r="AIU16" s="447"/>
      <c r="AIV16" s="447"/>
      <c r="AIW16" s="447"/>
      <c r="AIX16" s="447"/>
      <c r="AIY16" s="447"/>
      <c r="AIZ16" s="447"/>
      <c r="AJA16" s="447"/>
      <c r="AJB16" s="447"/>
      <c r="AJC16" s="447"/>
      <c r="AJD16" s="447"/>
      <c r="AJE16" s="447"/>
      <c r="AJF16" s="447"/>
      <c r="AJG16" s="447"/>
      <c r="AJH16" s="447"/>
      <c r="AJI16" s="447"/>
      <c r="AJJ16" s="447"/>
      <c r="AJK16" s="447"/>
      <c r="AJL16" s="447"/>
      <c r="AJM16" s="447"/>
      <c r="AJN16" s="447"/>
      <c r="AJO16" s="447"/>
      <c r="AJP16" s="447"/>
      <c r="AJQ16" s="447"/>
      <c r="AJR16" s="447"/>
      <c r="AJS16" s="447"/>
      <c r="AJT16" s="447"/>
      <c r="AJU16" s="447"/>
      <c r="AJV16" s="447"/>
      <c r="AJW16" s="447"/>
      <c r="AJX16" s="447"/>
      <c r="AJY16" s="447"/>
      <c r="AJZ16" s="447"/>
      <c r="AKA16" s="447"/>
      <c r="AKB16" s="447"/>
      <c r="AKC16" s="447"/>
      <c r="AKD16" s="447"/>
      <c r="AKE16" s="447"/>
      <c r="AKF16" s="447"/>
      <c r="AKG16" s="447"/>
      <c r="AKH16" s="447"/>
      <c r="AKI16" s="447"/>
      <c r="AKJ16" s="447"/>
      <c r="AKK16" s="447"/>
      <c r="AKL16" s="447"/>
      <c r="AKM16" s="447"/>
      <c r="AKN16" s="447"/>
      <c r="AKO16" s="447"/>
      <c r="AKP16" s="447"/>
      <c r="AKQ16" s="447"/>
      <c r="AKR16" s="447"/>
      <c r="AKS16" s="447"/>
      <c r="AKT16" s="447"/>
      <c r="AKU16" s="447"/>
      <c r="AKV16" s="447"/>
      <c r="AKW16" s="447"/>
      <c r="AKX16" s="447"/>
      <c r="AKY16" s="447"/>
      <c r="AKZ16" s="447"/>
      <c r="ALA16" s="447"/>
      <c r="ALB16" s="447"/>
      <c r="ALC16" s="447"/>
      <c r="ALD16" s="447"/>
      <c r="ALE16" s="447"/>
      <c r="ALF16" s="447"/>
      <c r="ALG16" s="447"/>
      <c r="ALH16" s="447"/>
      <c r="ALI16" s="447"/>
      <c r="ALJ16" s="447"/>
      <c r="ALK16" s="447"/>
      <c r="ALL16" s="447"/>
      <c r="ALM16" s="447"/>
      <c r="ALN16" s="447"/>
      <c r="ALO16" s="447"/>
      <c r="ALP16" s="447"/>
      <c r="ALQ16" s="447"/>
      <c r="ALR16" s="447"/>
      <c r="ALS16" s="447"/>
      <c r="ALT16" s="447"/>
      <c r="ALU16" s="447"/>
      <c r="ALV16" s="447"/>
      <c r="ALW16" s="447"/>
      <c r="ALX16" s="447"/>
      <c r="ALY16" s="447"/>
      <c r="ALZ16" s="447"/>
      <c r="AMA16" s="447"/>
      <c r="AMB16" s="447"/>
      <c r="AMC16" s="447"/>
      <c r="AMD16" s="447"/>
      <c r="AME16" s="447"/>
      <c r="AMF16" s="447"/>
      <c r="AMG16" s="447"/>
      <c r="AMH16" s="447"/>
      <c r="AMI16" s="447"/>
      <c r="AMJ16" s="447"/>
      <c r="AMK16" s="447"/>
      <c r="AML16" s="447"/>
      <c r="AMM16" s="447"/>
      <c r="AMN16" s="447"/>
      <c r="AMO16" s="447"/>
      <c r="AMP16" s="447"/>
      <c r="AMQ16" s="447"/>
      <c r="AMR16" s="447"/>
      <c r="AMS16" s="447"/>
      <c r="AMT16" s="447"/>
      <c r="AMU16" s="447"/>
      <c r="AMV16" s="447"/>
      <c r="AMW16" s="447"/>
      <c r="AMX16" s="447"/>
      <c r="AMY16" s="447"/>
      <c r="AMZ16" s="447"/>
      <c r="ANA16" s="447"/>
      <c r="ANB16" s="447"/>
      <c r="ANC16" s="447"/>
      <c r="AND16" s="447"/>
      <c r="ANE16" s="447"/>
      <c r="ANF16" s="447"/>
      <c r="ANG16" s="447"/>
      <c r="ANH16" s="447"/>
      <c r="ANI16" s="447"/>
      <c r="ANJ16" s="447"/>
      <c r="ANK16" s="447"/>
      <c r="ANL16" s="447"/>
      <c r="ANM16" s="447"/>
      <c r="ANN16" s="447"/>
      <c r="ANO16" s="447"/>
      <c r="ANP16" s="447"/>
      <c r="ANQ16" s="447"/>
      <c r="ANR16" s="447"/>
      <c r="ANS16" s="447"/>
      <c r="ANT16" s="447"/>
      <c r="ANU16" s="447"/>
      <c r="ANV16" s="447"/>
      <c r="ANW16" s="447"/>
      <c r="ANX16" s="447"/>
      <c r="ANY16" s="447"/>
      <c r="ANZ16" s="447"/>
      <c r="AOA16" s="447"/>
      <c r="AOB16" s="447"/>
      <c r="AOC16" s="447"/>
      <c r="AOD16" s="447"/>
      <c r="AOE16" s="447"/>
      <c r="AOF16" s="447"/>
      <c r="AOG16" s="447"/>
      <c r="AOH16" s="447"/>
      <c r="AOI16" s="447"/>
      <c r="AOJ16" s="447"/>
      <c r="AOK16" s="447"/>
      <c r="AOL16" s="447"/>
      <c r="AOM16" s="447"/>
      <c r="AON16" s="447"/>
      <c r="AOO16" s="447"/>
      <c r="AOP16" s="447"/>
      <c r="AOQ16" s="447"/>
      <c r="AOR16" s="447"/>
      <c r="AOS16" s="447"/>
      <c r="AOT16" s="447"/>
      <c r="AOU16" s="447"/>
      <c r="AOV16" s="447"/>
      <c r="AOW16" s="447"/>
      <c r="AOX16" s="447"/>
      <c r="AOY16" s="447"/>
      <c r="AOZ16" s="447"/>
      <c r="APA16" s="447"/>
      <c r="APB16" s="447"/>
      <c r="APC16" s="447"/>
      <c r="APD16" s="447"/>
      <c r="APE16" s="447"/>
      <c r="APF16" s="447"/>
      <c r="APG16" s="447"/>
      <c r="APH16" s="447"/>
      <c r="API16" s="447"/>
      <c r="APJ16" s="447"/>
      <c r="APK16" s="447"/>
      <c r="APL16" s="447"/>
      <c r="APM16" s="447"/>
      <c r="APN16" s="447"/>
      <c r="APO16" s="447"/>
      <c r="APP16" s="447"/>
      <c r="APQ16" s="447"/>
      <c r="APR16" s="447"/>
      <c r="APS16" s="447"/>
      <c r="APT16" s="447"/>
      <c r="APU16" s="447"/>
      <c r="APV16" s="447"/>
      <c r="APW16" s="447"/>
      <c r="APX16" s="447"/>
      <c r="APY16" s="447"/>
      <c r="APZ16" s="447"/>
      <c r="AQA16" s="447"/>
      <c r="AQB16" s="447"/>
      <c r="AQC16" s="447"/>
      <c r="AQD16" s="447"/>
      <c r="AQE16" s="447"/>
      <c r="AQF16" s="447"/>
      <c r="AQG16" s="447"/>
      <c r="AQH16" s="447"/>
      <c r="AQI16" s="447"/>
      <c r="AQJ16" s="447"/>
      <c r="AQK16" s="447"/>
      <c r="AQL16" s="447"/>
      <c r="AQM16" s="447"/>
      <c r="AQN16" s="447"/>
      <c r="AQO16" s="447"/>
      <c r="AQP16" s="447"/>
      <c r="AQQ16" s="447"/>
      <c r="AQR16" s="447"/>
      <c r="AQS16" s="447"/>
      <c r="AQT16" s="447"/>
      <c r="AQU16" s="447"/>
      <c r="AQV16" s="447"/>
      <c r="AQW16" s="447"/>
      <c r="AQX16" s="447"/>
      <c r="AQY16" s="447"/>
      <c r="AQZ16" s="447"/>
      <c r="ARA16" s="447"/>
      <c r="ARB16" s="447"/>
      <c r="ARC16" s="447"/>
      <c r="ARD16" s="447"/>
      <c r="ARE16" s="447"/>
      <c r="ARF16" s="447"/>
      <c r="ARG16" s="447"/>
      <c r="ARH16" s="447"/>
      <c r="ARI16" s="447"/>
      <c r="ARJ16" s="447"/>
      <c r="ARK16" s="447"/>
      <c r="ARL16" s="447"/>
      <c r="ARM16" s="447"/>
      <c r="ARN16" s="447"/>
      <c r="ARO16" s="447"/>
      <c r="ARP16" s="447"/>
      <c r="ARQ16" s="447"/>
      <c r="ARR16" s="447"/>
      <c r="ARS16" s="447"/>
      <c r="ART16" s="447"/>
      <c r="ARU16" s="447"/>
      <c r="ARV16" s="447"/>
      <c r="ARW16" s="447"/>
      <c r="ARX16" s="447"/>
      <c r="ARY16" s="447"/>
      <c r="ARZ16" s="447"/>
      <c r="ASA16" s="447"/>
      <c r="ASB16" s="447"/>
      <c r="ASC16" s="447"/>
      <c r="ASD16" s="447"/>
      <c r="ASE16" s="447"/>
      <c r="ASF16" s="447"/>
      <c r="ASG16" s="447"/>
      <c r="ASH16" s="447"/>
      <c r="ASI16" s="447"/>
      <c r="ASJ16" s="447"/>
      <c r="ASK16" s="447"/>
      <c r="ASL16" s="447"/>
      <c r="ASM16" s="447"/>
      <c r="ASN16" s="447"/>
      <c r="ASO16" s="447"/>
      <c r="ASP16" s="447"/>
      <c r="ASQ16" s="447"/>
      <c r="ASR16" s="447"/>
      <c r="ASS16" s="447"/>
      <c r="AST16" s="447"/>
      <c r="ASU16" s="447"/>
      <c r="ASV16" s="447"/>
      <c r="ASW16" s="447"/>
      <c r="ASX16" s="447"/>
      <c r="ASY16" s="447"/>
      <c r="ASZ16" s="447"/>
      <c r="ATA16" s="447"/>
      <c r="ATB16" s="447"/>
      <c r="ATC16" s="447"/>
      <c r="ATD16" s="447"/>
      <c r="ATE16" s="447"/>
      <c r="ATF16" s="447"/>
      <c r="ATG16" s="447"/>
      <c r="ATH16" s="447"/>
      <c r="ATI16" s="447"/>
      <c r="ATJ16" s="447"/>
      <c r="ATK16" s="447"/>
      <c r="ATL16" s="447"/>
      <c r="ATM16" s="447"/>
      <c r="ATN16" s="447"/>
      <c r="ATO16" s="447"/>
      <c r="ATP16" s="447"/>
      <c r="ATQ16" s="447"/>
      <c r="ATR16" s="447"/>
      <c r="ATS16" s="447"/>
      <c r="ATT16" s="447"/>
      <c r="ATU16" s="447"/>
      <c r="ATV16" s="447"/>
      <c r="ATW16" s="447"/>
      <c r="ATX16" s="447"/>
      <c r="ATY16" s="447"/>
      <c r="ATZ16" s="447"/>
      <c r="AUA16" s="447"/>
      <c r="AUB16" s="447"/>
      <c r="AUC16" s="447"/>
      <c r="AUD16" s="447"/>
      <c r="AUE16" s="447"/>
      <c r="AUF16" s="447"/>
      <c r="AUG16" s="447"/>
      <c r="AUH16" s="447"/>
      <c r="AUI16" s="447"/>
      <c r="AUJ16" s="447"/>
      <c r="AUK16" s="447"/>
      <c r="AUL16" s="447"/>
      <c r="AUM16" s="447"/>
      <c r="AUN16" s="447"/>
      <c r="AUO16" s="447"/>
      <c r="AUP16" s="447"/>
      <c r="AUQ16" s="447"/>
      <c r="AUR16" s="447"/>
      <c r="AUS16" s="447"/>
      <c r="AUT16" s="447"/>
      <c r="AUU16" s="447"/>
      <c r="AUV16" s="447"/>
      <c r="AUW16" s="447"/>
      <c r="AUX16" s="447"/>
      <c r="AUY16" s="447"/>
      <c r="AUZ16" s="447"/>
      <c r="AVA16" s="447"/>
      <c r="AVB16" s="447"/>
      <c r="AVC16" s="447"/>
      <c r="AVD16" s="447"/>
      <c r="AVE16" s="447"/>
      <c r="AVF16" s="447"/>
      <c r="AVG16" s="447"/>
      <c r="AVH16" s="447"/>
      <c r="AVI16" s="447"/>
      <c r="AVJ16" s="447"/>
      <c r="AVK16" s="447"/>
      <c r="AVL16" s="447"/>
      <c r="AVM16" s="447"/>
      <c r="AVN16" s="447"/>
      <c r="AVO16" s="447"/>
      <c r="AVP16" s="447"/>
      <c r="AVQ16" s="447"/>
      <c r="AVR16" s="447"/>
      <c r="AVS16" s="447"/>
      <c r="AVT16" s="447"/>
      <c r="AVU16" s="447"/>
      <c r="AVV16" s="447"/>
      <c r="AVW16" s="447"/>
      <c r="AVX16" s="447"/>
      <c r="AVY16" s="447"/>
      <c r="AVZ16" s="447"/>
      <c r="AWA16" s="447"/>
      <c r="AWB16" s="447"/>
      <c r="AWC16" s="447"/>
      <c r="AWD16" s="447"/>
      <c r="AWE16" s="447"/>
      <c r="AWF16" s="447"/>
      <c r="AWG16" s="447"/>
      <c r="AWH16" s="447"/>
      <c r="AWI16" s="447"/>
      <c r="AWJ16" s="447"/>
      <c r="AWK16" s="447"/>
      <c r="AWL16" s="447"/>
      <c r="AWM16" s="447"/>
    </row>
    <row r="17" spans="2:44">
      <c r="B17" s="248" t="s">
        <v>2286</v>
      </c>
      <c r="C17" s="109" t="s">
        <v>2420</v>
      </c>
      <c r="D17" s="109" t="s">
        <v>2374</v>
      </c>
      <c r="E17" s="109" t="s">
        <v>113</v>
      </c>
      <c r="F17" s="247" t="s">
        <v>2375</v>
      </c>
      <c r="G17" s="210" t="s">
        <v>2303</v>
      </c>
      <c r="H17" s="299"/>
      <c r="I17" s="300"/>
      <c r="J17" s="115"/>
      <c r="K17" s="215"/>
      <c r="L17" s="219"/>
      <c r="M17" s="207"/>
      <c r="N17" s="70" t="str">
        <f>IFERROR(O17/H17,"")</f>
        <v/>
      </c>
      <c r="O17" s="71">
        <v>14067925</v>
      </c>
      <c r="P17" s="111">
        <v>2021</v>
      </c>
      <c r="Q17" s="76">
        <v>1</v>
      </c>
      <c r="R17" s="206" t="s">
        <v>2304</v>
      </c>
      <c r="S17" s="305">
        <v>0</v>
      </c>
      <c r="T17" s="55">
        <f>O17*S17</f>
        <v>0</v>
      </c>
      <c r="U17" s="62">
        <f t="shared" ref="U17:U23" si="0">IF(Z17="","",IF(Z17&lt;=YEAR+5,0.075,IF(AND(Z17&gt;YEAR+5,Z17&lt;=YEAR+10),0.15,IF(AND(Z17&gt;YEAR+10,Z17&lt;=YEAR+20),0.2,IF(Z17&gt;YEAR+20,0.25,"")))))</f>
        <v>7.4999999999999997E-2</v>
      </c>
      <c r="V17" s="63">
        <f>ROUND((O17+W17)*U17,0)</f>
        <v>1297766</v>
      </c>
      <c r="W17" s="63">
        <f>ROUND((O17)*23%,0)</f>
        <v>3235623</v>
      </c>
      <c r="X17" s="273"/>
      <c r="Y17" s="56">
        <f>ROUND((M17+O17+T17+V17+W17-X17),0)</f>
        <v>18601314</v>
      </c>
      <c r="Z17" s="144">
        <v>2024</v>
      </c>
      <c r="AA17" s="77">
        <f t="shared" ref="AA17:AA23" si="1">(1+PPI)^(Z17-YEAR)</f>
        <v>1.0556146069383956</v>
      </c>
      <c r="AB17" s="77">
        <f>IF(Z17&lt;YEAR,1,IF('General Input Sheet'!$E$32="WACC1",1/(1+WACC1)^(Z17-YEAR), IF('General Input Sheet'!$E$32="WACC2",1/(1+WACC2)^(Z17-YEAR),"Check WACC Option in General Input Sheet")))</f>
        <v>0.84176157274348007</v>
      </c>
      <c r="AC17" s="77">
        <v>0</v>
      </c>
      <c r="AD17" s="77" t="str">
        <f>IFERROR(IF(Z17&gt;2024,VLOOKUP(E17,'Catchment Demand - Ferry'!C$9:M$9,11,FALSE),""),"")</f>
        <v/>
      </c>
      <c r="AE17" s="77" cm="1">
        <f t="array" ref="AE17">_xlfn.IFS(Z17=2024,0,Z17=2029,Y17/SUMIFS($Y$17:$Y$23,$Z$17:$Z$23,"2029",$E$17:$E$23,E17),Z17=2034,Y17/SUMIFS($Y$17:$Y$23,$Z$17:$Z$23,"2034",$E$17:$E$23,E17))</f>
        <v>0</v>
      </c>
      <c r="AF17" s="77">
        <f>IF(AND(AD17&gt;30%,AE17&gt;20%),(1-AD17),1)</f>
        <v>1</v>
      </c>
      <c r="AG17" s="214">
        <f>IF(AF17&lt;0,0,AF17)</f>
        <v>1</v>
      </c>
      <c r="AH17" s="201">
        <f t="shared" ref="AH17:AH23" si="2">IFERROR(ROUND((Y17*AA17*(1-AC17))+((1+Landind)^(Z17-YEAR)*M17),0),0)</f>
        <v>19635819</v>
      </c>
      <c r="AI17" s="55">
        <f t="shared" ref="AI17:AI23" si="3">IFERROR(ROUND((AH17*AB17),0),0)</f>
        <v>16528678</v>
      </c>
      <c r="AJ17" s="56">
        <f>AI17*AG17</f>
        <v>16528678</v>
      </c>
      <c r="AK17" s="499" t="s">
        <v>2289</v>
      </c>
      <c r="AM17" s="500">
        <v>1</v>
      </c>
      <c r="AN17" s="501">
        <f>SUM(AM17)</f>
        <v>1</v>
      </c>
      <c r="AP17" s="502">
        <f>IF(AM17="","",(AM17/AN17)*$AI17)</f>
        <v>16528678</v>
      </c>
      <c r="AQ17" s="503"/>
      <c r="AR17" s="502">
        <f>IF(AM17="","",(AM17/AN17)*$AI17)*AG17</f>
        <v>16528678</v>
      </c>
    </row>
    <row r="18" spans="2:44">
      <c r="B18" s="112" t="s">
        <v>2169</v>
      </c>
      <c r="C18" s="111" t="s">
        <v>2421</v>
      </c>
      <c r="D18" s="111" t="s">
        <v>2424</v>
      </c>
      <c r="E18" s="111" t="s">
        <v>113</v>
      </c>
      <c r="F18" s="245" t="s">
        <v>2376</v>
      </c>
      <c r="G18" s="113" t="s">
        <v>2288</v>
      </c>
      <c r="H18" s="299"/>
      <c r="I18" s="300"/>
      <c r="J18" s="112"/>
      <c r="K18" s="216"/>
      <c r="L18" s="219"/>
      <c r="M18" s="195"/>
      <c r="N18" s="70" t="str">
        <f t="shared" ref="N18:N23" si="4">IFERROR(O18/H18,"")</f>
        <v/>
      </c>
      <c r="O18" s="72">
        <v>11268210</v>
      </c>
      <c r="P18" s="111">
        <v>2021</v>
      </c>
      <c r="Q18" s="76">
        <v>1</v>
      </c>
      <c r="R18" s="206" t="s">
        <v>2294</v>
      </c>
      <c r="S18" s="305">
        <v>0</v>
      </c>
      <c r="T18" s="55">
        <f t="shared" ref="T18:T23" si="5">O18*S18</f>
        <v>0</v>
      </c>
      <c r="U18" s="62">
        <f t="shared" si="0"/>
        <v>0.2</v>
      </c>
      <c r="V18" s="63">
        <f t="shared" ref="V18:V23" si="6">ROUND((O18+W18)*U18,0)</f>
        <v>2771980</v>
      </c>
      <c r="W18" s="63">
        <f t="shared" ref="W18:W23" si="7">ROUND((O18)*23%,0)</f>
        <v>2591688</v>
      </c>
      <c r="X18" s="273"/>
      <c r="Y18" s="56">
        <f>ROUND((M18+O18+T18+V18+W18-X18),0)</f>
        <v>16631878</v>
      </c>
      <c r="Z18" s="145">
        <v>2034</v>
      </c>
      <c r="AA18" s="77">
        <f t="shared" si="1"/>
        <v>1.2643190879401258</v>
      </c>
      <c r="AB18" s="77">
        <f>IF(Z18&lt;YEAR,1,IF('General Input Sheet'!$E$32="WACC1",1/(1+WACC1)^(Z18-YEAR), IF('General Input Sheet'!$E$32="WACC2",1/(1+WACC2)^(Z18-YEAR),"Check WACC Option in General Input Sheet")))</f>
        <v>0.47404483114855755</v>
      </c>
      <c r="AC18" s="77">
        <v>0</v>
      </c>
      <c r="AD18" s="77">
        <f>IFERROR(IF(Z18&gt;2024,VLOOKUP(E18,'Catchment Demand - Ferry'!C$9:M$9,11,FALSE),""),"")</f>
        <v>0.3640611159865888</v>
      </c>
      <c r="AE18" s="77" cm="1">
        <f t="array" ref="AE18">_xlfn.IFS(Z18=2024,0,Z18=2029,Y18/SUMIFS($Y$17:$Y$23,$Z$17:$Z$23,"2029",$E$17:$E$23,E18),Z18=2034,Y18/SUMIFS($Y$17:$Y$23,$Z$17:$Z$23,"2034",$E$17:$E$23,E18))</f>
        <v>1</v>
      </c>
      <c r="AF18" s="77">
        <f t="shared" ref="AF18:AF23" si="8">IF(AND(AD18&gt;30%,AE18&gt;20%),(1-AD18),1)</f>
        <v>0.63593888401341125</v>
      </c>
      <c r="AG18" s="214">
        <f t="shared" ref="AG18:AG23" si="9">IF(AF18&lt;0,0,AF18)</f>
        <v>0.63593888401341125</v>
      </c>
      <c r="AH18" s="201">
        <f>IFERROR(ROUND((Y18*AA18*(1-AC18))+((1+Landind)^(Z18-YEAR)*M18),0),0)</f>
        <v>21028001</v>
      </c>
      <c r="AI18" s="55">
        <f t="shared" si="3"/>
        <v>9968215</v>
      </c>
      <c r="AJ18" s="56">
        <f t="shared" ref="AJ18:AJ23" si="10">AI18*AG18</f>
        <v>6339175.5227057459</v>
      </c>
      <c r="AK18" s="504" t="s">
        <v>2289</v>
      </c>
      <c r="AM18" s="505">
        <v>1</v>
      </c>
      <c r="AN18" s="506">
        <f t="shared" ref="AN18:AN23" si="11">SUM(AM18)</f>
        <v>1</v>
      </c>
      <c r="AP18" s="507">
        <f t="shared" ref="AP18:AP23" si="12">IF(AM18="","",(AM18/AN18)*$AI18)</f>
        <v>9968215</v>
      </c>
      <c r="AQ18" s="503"/>
      <c r="AR18" s="507">
        <f t="shared" ref="AR18:AR23" si="13">IF(AM18="","",(AM18/AN18)*$AI18)*AG18</f>
        <v>6339175.5227057459</v>
      </c>
    </row>
    <row r="19" spans="2:44">
      <c r="B19" s="112" t="s">
        <v>2286</v>
      </c>
      <c r="C19" s="111" t="s">
        <v>2290</v>
      </c>
      <c r="D19" s="111" t="s">
        <v>2287</v>
      </c>
      <c r="E19" s="111" t="s">
        <v>113</v>
      </c>
      <c r="F19" s="245" t="s">
        <v>2291</v>
      </c>
      <c r="G19" s="113" t="s">
        <v>2288</v>
      </c>
      <c r="H19" s="299"/>
      <c r="I19" s="300"/>
      <c r="J19" s="112"/>
      <c r="K19" s="216"/>
      <c r="L19" s="219"/>
      <c r="M19" s="195"/>
      <c r="N19" s="70" t="str">
        <f t="shared" si="4"/>
        <v/>
      </c>
      <c r="O19" s="72">
        <v>12598996</v>
      </c>
      <c r="P19" s="111">
        <v>2021</v>
      </c>
      <c r="Q19" s="76">
        <v>1</v>
      </c>
      <c r="R19" s="206" t="s">
        <v>2294</v>
      </c>
      <c r="S19" s="305">
        <v>0</v>
      </c>
      <c r="T19" s="55">
        <f t="shared" si="5"/>
        <v>0</v>
      </c>
      <c r="U19" s="62">
        <f t="shared" si="0"/>
        <v>7.4999999999999997E-2</v>
      </c>
      <c r="V19" s="63">
        <f t="shared" si="6"/>
        <v>1162257</v>
      </c>
      <c r="W19" s="63">
        <f t="shared" si="7"/>
        <v>2897769</v>
      </c>
      <c r="X19" s="273"/>
      <c r="Y19" s="56">
        <f t="shared" ref="Y19:Y23" si="14">ROUND((M19+O19+T19+V19+W19-X19),0)</f>
        <v>16659022</v>
      </c>
      <c r="Z19" s="145">
        <v>2024</v>
      </c>
      <c r="AA19" s="77">
        <f t="shared" si="1"/>
        <v>1.0556146069383956</v>
      </c>
      <c r="AB19" s="77">
        <f>IF(Z19&lt;YEAR,1,IF('General Input Sheet'!$E$32="WACC1",1/(1+WACC1)^(Z19-YEAR), IF('General Input Sheet'!$E$32="WACC2",1/(1+WACC2)^(Z19-YEAR),"Check WACC Option in General Input Sheet")))</f>
        <v>0.84176157274348007</v>
      </c>
      <c r="AC19" s="77">
        <v>0</v>
      </c>
      <c r="AD19" s="77" t="str">
        <f>IFERROR(IF(Z19&gt;2024,VLOOKUP(E19,'Catchment Demand - Ferry'!C$9:M$9,11,FALSE),""),"")</f>
        <v/>
      </c>
      <c r="AE19" s="77" cm="1">
        <f t="array" ref="AE19">_xlfn.IFS(Z19=2024,0,Z19=2029,Y19/SUMIFS($Y$17:$Y$23,$Z$17:$Z$23,"2029",$E$17:$E$23,E19),Z19=2034,Y19/SUMIFS($Y$17:$Y$23,$Z$17:$Z$23,"2034",$E$17:$E$23,E19))</f>
        <v>0</v>
      </c>
      <c r="AF19" s="77">
        <f t="shared" si="8"/>
        <v>1</v>
      </c>
      <c r="AG19" s="214">
        <f t="shared" si="9"/>
        <v>1</v>
      </c>
      <c r="AH19" s="201">
        <f t="shared" si="2"/>
        <v>17585507</v>
      </c>
      <c r="AI19" s="55">
        <f t="shared" si="3"/>
        <v>14802804</v>
      </c>
      <c r="AJ19" s="56">
        <f t="shared" si="10"/>
        <v>14802804</v>
      </c>
      <c r="AK19" s="504" t="s">
        <v>2289</v>
      </c>
      <c r="AL19" s="213"/>
      <c r="AM19" s="505">
        <v>1</v>
      </c>
      <c r="AN19" s="506">
        <f t="shared" si="11"/>
        <v>1</v>
      </c>
      <c r="AP19" s="507">
        <f t="shared" si="12"/>
        <v>14802804</v>
      </c>
      <c r="AQ19" s="503"/>
      <c r="AR19" s="507">
        <f t="shared" si="13"/>
        <v>14802804</v>
      </c>
    </row>
    <row r="20" spans="2:44">
      <c r="B20" s="112" t="s">
        <v>2152</v>
      </c>
      <c r="C20" s="111" t="s">
        <v>2307</v>
      </c>
      <c r="D20" s="111" t="s">
        <v>2374</v>
      </c>
      <c r="E20" s="111" t="s">
        <v>113</v>
      </c>
      <c r="F20" s="245" t="s">
        <v>2316</v>
      </c>
      <c r="G20" s="113" t="s">
        <v>2303</v>
      </c>
      <c r="H20" s="301"/>
      <c r="I20" s="300"/>
      <c r="J20" s="112"/>
      <c r="K20" s="216"/>
      <c r="L20" s="219"/>
      <c r="M20" s="195"/>
      <c r="N20" s="70" t="str">
        <f t="shared" si="4"/>
        <v/>
      </c>
      <c r="O20" s="72">
        <v>15069746</v>
      </c>
      <c r="P20" s="111">
        <v>2021</v>
      </c>
      <c r="Q20" s="76">
        <v>1</v>
      </c>
      <c r="R20" s="206" t="s">
        <v>2304</v>
      </c>
      <c r="S20" s="305">
        <v>0</v>
      </c>
      <c r="T20" s="55">
        <f t="shared" si="5"/>
        <v>0</v>
      </c>
      <c r="U20" s="62">
        <f t="shared" si="0"/>
        <v>7.4999999999999997E-2</v>
      </c>
      <c r="V20" s="63">
        <f t="shared" si="6"/>
        <v>1390184</v>
      </c>
      <c r="W20" s="63">
        <f t="shared" si="7"/>
        <v>3466042</v>
      </c>
      <c r="X20" s="273"/>
      <c r="Y20" s="56">
        <f t="shared" si="14"/>
        <v>19925972</v>
      </c>
      <c r="Z20" s="145">
        <v>2024</v>
      </c>
      <c r="AA20" s="77">
        <f t="shared" si="1"/>
        <v>1.0556146069383956</v>
      </c>
      <c r="AB20" s="77">
        <f>IF(Z20&lt;YEAR,1,IF('General Input Sheet'!$E$32="WACC1",1/(1+WACC1)^(Z20-YEAR), IF('General Input Sheet'!$E$32="WACC2",1/(1+WACC2)^(Z20-YEAR),"Check WACC Option in General Input Sheet")))</f>
        <v>0.84176157274348007</v>
      </c>
      <c r="AC20" s="77">
        <v>0</v>
      </c>
      <c r="AD20" s="77" t="str">
        <f>IFERROR(IF(Z20&gt;2024,VLOOKUP(E20,'Catchment Demand - Ferry'!C$9:M$9,11,FALSE),""),"")</f>
        <v/>
      </c>
      <c r="AE20" s="77" cm="1">
        <f t="array" ref="AE20">_xlfn.IFS(Z20=2024,0,Z20=2029,Y20/SUMIFS($Y$17:$Y$23,$Z$17:$Z$23,"2029",$E$17:$E$23,E20),Z20=2034,Y20/SUMIFS($Y$17:$Y$23,$Z$17:$Z$23,"2034",$E$17:$E$23,E20))</f>
        <v>0</v>
      </c>
      <c r="AF20" s="77">
        <f t="shared" si="8"/>
        <v>1</v>
      </c>
      <c r="AG20" s="214">
        <f t="shared" si="9"/>
        <v>1</v>
      </c>
      <c r="AH20" s="201">
        <f t="shared" si="2"/>
        <v>21034147</v>
      </c>
      <c r="AI20" s="55">
        <f t="shared" si="3"/>
        <v>17705737</v>
      </c>
      <c r="AJ20" s="56">
        <f t="shared" si="10"/>
        <v>17705737</v>
      </c>
      <c r="AK20" s="504" t="s">
        <v>2289</v>
      </c>
      <c r="AM20" s="505">
        <v>1</v>
      </c>
      <c r="AN20" s="506">
        <f t="shared" si="11"/>
        <v>1</v>
      </c>
      <c r="AP20" s="507">
        <f t="shared" si="12"/>
        <v>17705737</v>
      </c>
      <c r="AQ20" s="503"/>
      <c r="AR20" s="507">
        <f t="shared" si="13"/>
        <v>17705737</v>
      </c>
    </row>
    <row r="21" spans="2:44">
      <c r="B21" s="112" t="s">
        <v>2286</v>
      </c>
      <c r="C21" s="111" t="s">
        <v>2292</v>
      </c>
      <c r="D21" s="111" t="s">
        <v>2287</v>
      </c>
      <c r="E21" s="111" t="s">
        <v>113</v>
      </c>
      <c r="F21" s="245" t="s">
        <v>2293</v>
      </c>
      <c r="G21" s="113" t="s">
        <v>2288</v>
      </c>
      <c r="H21" s="302"/>
      <c r="I21" s="300"/>
      <c r="J21" s="112"/>
      <c r="K21" s="216"/>
      <c r="L21" s="219"/>
      <c r="M21" s="195"/>
      <c r="N21" s="70" t="str">
        <f t="shared" si="4"/>
        <v/>
      </c>
      <c r="O21" s="72">
        <v>14267192</v>
      </c>
      <c r="P21" s="111">
        <v>2021</v>
      </c>
      <c r="Q21" s="76">
        <v>1</v>
      </c>
      <c r="R21" s="206" t="s">
        <v>2294</v>
      </c>
      <c r="S21" s="305">
        <v>0</v>
      </c>
      <c r="T21" s="55">
        <f t="shared" si="5"/>
        <v>0</v>
      </c>
      <c r="U21" s="62">
        <f t="shared" si="0"/>
        <v>7.4999999999999997E-2</v>
      </c>
      <c r="V21" s="63">
        <f t="shared" si="6"/>
        <v>1316148</v>
      </c>
      <c r="W21" s="63">
        <f t="shared" si="7"/>
        <v>3281454</v>
      </c>
      <c r="X21" s="273"/>
      <c r="Y21" s="56">
        <f t="shared" si="14"/>
        <v>18864794</v>
      </c>
      <c r="Z21" s="145">
        <v>2024</v>
      </c>
      <c r="AA21" s="77">
        <f t="shared" si="1"/>
        <v>1.0556146069383956</v>
      </c>
      <c r="AB21" s="77">
        <f>IF(Z21&lt;YEAR,1,IF('General Input Sheet'!$E$32="WACC1",1/(1+WACC1)^(Z21-YEAR), IF('General Input Sheet'!$E$32="WACC2",1/(1+WACC2)^(Z21-YEAR),"Check WACC Option in General Input Sheet")))</f>
        <v>0.84176157274348007</v>
      </c>
      <c r="AC21" s="77">
        <v>0</v>
      </c>
      <c r="AD21" s="77" t="str">
        <f>IFERROR(IF(Z21&gt;2024,VLOOKUP(E21,'Catchment Demand - Ferry'!C$9:M$9,11,FALSE),""),"")</f>
        <v/>
      </c>
      <c r="AE21" s="77" cm="1">
        <f t="array" ref="AE21">_xlfn.IFS(Z21=2024,0,Z21=2029,Y21/SUMIFS($Y$17:$Y$23,$Z$17:$Z$23,"2029",$E$17:$E$23,E21),Z21=2034,Y21/SUMIFS($Y$17:$Y$23,$Z$17:$Z$23,"2034",$E$17:$E$23,E21))</f>
        <v>0</v>
      </c>
      <c r="AF21" s="77">
        <f t="shared" si="8"/>
        <v>1</v>
      </c>
      <c r="AG21" s="214">
        <f t="shared" si="9"/>
        <v>1</v>
      </c>
      <c r="AH21" s="201">
        <f t="shared" si="2"/>
        <v>19913952</v>
      </c>
      <c r="AI21" s="55">
        <f t="shared" si="3"/>
        <v>16762800</v>
      </c>
      <c r="AJ21" s="56">
        <f t="shared" si="10"/>
        <v>16762800</v>
      </c>
      <c r="AK21" s="504" t="s">
        <v>2289</v>
      </c>
      <c r="AM21" s="505">
        <v>1</v>
      </c>
      <c r="AN21" s="506">
        <f t="shared" si="11"/>
        <v>1</v>
      </c>
      <c r="AP21" s="507">
        <f t="shared" si="12"/>
        <v>16762800</v>
      </c>
      <c r="AQ21" s="503"/>
      <c r="AR21" s="507">
        <f t="shared" si="13"/>
        <v>16762800</v>
      </c>
    </row>
    <row r="22" spans="2:44">
      <c r="B22" s="112" t="s">
        <v>2296</v>
      </c>
      <c r="C22" s="111" t="s">
        <v>2297</v>
      </c>
      <c r="D22" s="111" t="s">
        <v>2287</v>
      </c>
      <c r="E22" s="111" t="s">
        <v>113</v>
      </c>
      <c r="F22" s="245" t="s">
        <v>2298</v>
      </c>
      <c r="G22" s="113" t="s">
        <v>2288</v>
      </c>
      <c r="H22" s="301"/>
      <c r="I22" s="300"/>
      <c r="J22" s="112"/>
      <c r="K22" s="216"/>
      <c r="L22" s="219"/>
      <c r="M22" s="195"/>
      <c r="N22" s="70" t="str">
        <f t="shared" si="4"/>
        <v/>
      </c>
      <c r="O22" s="72">
        <v>11961644</v>
      </c>
      <c r="P22" s="111">
        <v>2021</v>
      </c>
      <c r="Q22" s="76">
        <v>1</v>
      </c>
      <c r="R22" s="206" t="s">
        <v>2294</v>
      </c>
      <c r="S22" s="305">
        <v>0</v>
      </c>
      <c r="T22" s="55">
        <f t="shared" si="5"/>
        <v>0</v>
      </c>
      <c r="U22" s="62">
        <f t="shared" si="0"/>
        <v>7.4999999999999997E-2</v>
      </c>
      <c r="V22" s="63">
        <f t="shared" si="6"/>
        <v>1103462</v>
      </c>
      <c r="W22" s="63">
        <f t="shared" si="7"/>
        <v>2751178</v>
      </c>
      <c r="X22" s="273"/>
      <c r="Y22" s="56">
        <f t="shared" si="14"/>
        <v>15816284</v>
      </c>
      <c r="Z22" s="145">
        <v>2024</v>
      </c>
      <c r="AA22" s="77">
        <f t="shared" si="1"/>
        <v>1.0556146069383956</v>
      </c>
      <c r="AB22" s="77">
        <f>IF(Z22&lt;YEAR,1,IF('General Input Sheet'!$E$32="WACC1",1/(1+WACC1)^(Z22-YEAR), IF('General Input Sheet'!$E$32="WACC2",1/(1+WACC2)^(Z22-YEAR),"Check WACC Option in General Input Sheet")))</f>
        <v>0.84176157274348007</v>
      </c>
      <c r="AC22" s="77">
        <v>0</v>
      </c>
      <c r="AD22" s="77" t="str">
        <f>IFERROR(IF(Z22&gt;2024,VLOOKUP(E22,'Catchment Demand - Ferry'!C$9:M$9,11,FALSE),""),"")</f>
        <v/>
      </c>
      <c r="AE22" s="77" cm="1">
        <f t="array" ref="AE22">_xlfn.IFS(Z22=2024,0,Z22=2029,Y22/SUMIFS($Y$17:$Y$23,$Z$17:$Z$23,"2029",$E$17:$E$23,E22),Z22=2034,Y22/SUMIFS($Y$17:$Y$23,$Z$17:$Z$23,"2034",$E$17:$E$23,E22))</f>
        <v>0</v>
      </c>
      <c r="AF22" s="77">
        <f t="shared" si="8"/>
        <v>1</v>
      </c>
      <c r="AG22" s="214">
        <f t="shared" si="9"/>
        <v>1</v>
      </c>
      <c r="AH22" s="201">
        <f t="shared" si="2"/>
        <v>16695900</v>
      </c>
      <c r="AI22" s="55">
        <f t="shared" si="3"/>
        <v>14053967</v>
      </c>
      <c r="AJ22" s="56">
        <f t="shared" si="10"/>
        <v>14053967</v>
      </c>
      <c r="AK22" s="504" t="s">
        <v>2289</v>
      </c>
      <c r="AM22" s="505">
        <v>1</v>
      </c>
      <c r="AN22" s="506">
        <f t="shared" si="11"/>
        <v>1</v>
      </c>
      <c r="AP22" s="507">
        <f t="shared" si="12"/>
        <v>14053967</v>
      </c>
      <c r="AQ22" s="503"/>
      <c r="AR22" s="507">
        <f t="shared" si="13"/>
        <v>14053967</v>
      </c>
    </row>
    <row r="23" spans="2:44" ht="14.4" thickBot="1">
      <c r="B23" s="256" t="s">
        <v>2296</v>
      </c>
      <c r="C23" s="249" t="s">
        <v>2422</v>
      </c>
      <c r="D23" s="249" t="s">
        <v>2374</v>
      </c>
      <c r="E23" s="249" t="s">
        <v>113</v>
      </c>
      <c r="F23" s="246" t="s">
        <v>2377</v>
      </c>
      <c r="G23" s="259" t="s">
        <v>2303</v>
      </c>
      <c r="H23" s="303"/>
      <c r="I23" s="304"/>
      <c r="J23" s="250"/>
      <c r="K23" s="217"/>
      <c r="L23" s="220"/>
      <c r="M23" s="218"/>
      <c r="N23" s="251" t="str">
        <f t="shared" si="4"/>
        <v/>
      </c>
      <c r="O23" s="151">
        <v>12602339</v>
      </c>
      <c r="P23" s="249">
        <v>2021</v>
      </c>
      <c r="Q23" s="252">
        <v>1</v>
      </c>
      <c r="R23" s="209" t="s">
        <v>2304</v>
      </c>
      <c r="S23" s="306">
        <v>0</v>
      </c>
      <c r="T23" s="197">
        <f t="shared" si="5"/>
        <v>0</v>
      </c>
      <c r="U23" s="212">
        <f t="shared" si="0"/>
        <v>0.15</v>
      </c>
      <c r="V23" s="197">
        <f t="shared" si="6"/>
        <v>2325132</v>
      </c>
      <c r="W23" s="197">
        <f t="shared" si="7"/>
        <v>2898538</v>
      </c>
      <c r="X23" s="279"/>
      <c r="Y23" s="198">
        <f t="shared" si="14"/>
        <v>17826009</v>
      </c>
      <c r="Z23" s="257">
        <v>2029</v>
      </c>
      <c r="AA23" s="253">
        <f t="shared" si="1"/>
        <v>1.1552634751694639</v>
      </c>
      <c r="AB23" s="253">
        <f>IF(Z23&lt;YEAR,1,IF('General Input Sheet'!$E$32="WACC1",1/(1+WACC1)^(Z23-YEAR), IF('General Input Sheet'!$E$32="WACC2",1/(1+WACC2)^(Z23-YEAR),"Check WACC Option in General Input Sheet")))</f>
        <v>0.63169036926213096</v>
      </c>
      <c r="AC23" s="260">
        <v>0</v>
      </c>
      <c r="AD23" s="253">
        <f>IFERROR(IF(Z23&gt;2024,VLOOKUP(E23,'Catchment Demand - Ferry'!C$9:M$9,11,FALSE),""),"")</f>
        <v>0.3640611159865888</v>
      </c>
      <c r="AE23" s="253" cm="1">
        <f t="array" ref="AE23">_xlfn.IFS(Z23=2024,0,Z23=2029,Y23/SUMIFS($Y$17:$Y$23,$Z$17:$Z$23,"2029",$E$17:$E$23,E23),Z23=2034,Y23/SUMIFS($Y$17:$Y$23,$Z$17:$Z$23,"2034",$E$17:$E$23,E23))</f>
        <v>1</v>
      </c>
      <c r="AF23" s="253">
        <f t="shared" si="8"/>
        <v>0.63593888401341125</v>
      </c>
      <c r="AG23" s="258">
        <f t="shared" si="9"/>
        <v>0.63593888401341125</v>
      </c>
      <c r="AH23" s="202">
        <f t="shared" si="2"/>
        <v>20593737</v>
      </c>
      <c r="AI23" s="197">
        <f t="shared" si="3"/>
        <v>13008865</v>
      </c>
      <c r="AJ23" s="198">
        <f t="shared" si="10"/>
        <v>8272843.090381125</v>
      </c>
      <c r="AK23" s="508" t="s">
        <v>2289</v>
      </c>
      <c r="AM23" s="509">
        <v>1</v>
      </c>
      <c r="AN23" s="510">
        <f t="shared" si="11"/>
        <v>1</v>
      </c>
      <c r="AP23" s="511">
        <f t="shared" si="12"/>
        <v>13008865</v>
      </c>
      <c r="AQ23" s="503"/>
      <c r="AR23" s="511">
        <f t="shared" si="13"/>
        <v>8272843.090381125</v>
      </c>
    </row>
    <row r="24" spans="2:44" s="30" customFormat="1" ht="15" thickBot="1">
      <c r="B24" s="174"/>
      <c r="C24" s="174"/>
      <c r="D24" s="174"/>
      <c r="E24" s="174"/>
      <c r="F24" s="174"/>
      <c r="G24" s="174"/>
      <c r="H24" s="174"/>
      <c r="I24" s="221"/>
      <c r="J24" s="177"/>
      <c r="K24" s="177"/>
      <c r="L24" s="177"/>
      <c r="M24" s="177"/>
      <c r="N24" s="176"/>
      <c r="O24" s="177"/>
      <c r="P24" s="177"/>
      <c r="Q24" s="177"/>
      <c r="R24" s="177"/>
      <c r="S24" s="177"/>
      <c r="T24" s="177"/>
      <c r="U24" s="177"/>
      <c r="V24" s="225">
        <f>SUM(V17:V23)</f>
        <v>11366929</v>
      </c>
      <c r="W24" s="225">
        <f>SUM(W17:W23)</f>
        <v>21122292</v>
      </c>
      <c r="X24" s="177"/>
      <c r="Y24" s="225">
        <f>SUM(Y17:Y23)</f>
        <v>124325273</v>
      </c>
      <c r="Z24" s="178"/>
      <c r="AA24" s="222"/>
      <c r="AB24" s="236">
        <v>1</v>
      </c>
      <c r="AC24" s="240"/>
      <c r="AD24" s="223"/>
      <c r="AE24" s="223"/>
      <c r="AF24" s="223"/>
      <c r="AG24" s="223"/>
      <c r="AH24" s="443">
        <f>SUM(AH17:AH23)</f>
        <v>136487063</v>
      </c>
      <c r="AI24" s="444">
        <f>SUM(AI17:AI23)</f>
        <v>102831066</v>
      </c>
      <c r="AJ24" s="444">
        <f>SUM(AJ17:AJ23)</f>
        <v>94466004.613086879</v>
      </c>
      <c r="AK24" s="174"/>
      <c r="AL24" s="54"/>
      <c r="AM24" s="224"/>
      <c r="AN24" s="179"/>
      <c r="AO24" s="54"/>
      <c r="AP24" s="224"/>
      <c r="AR24" s="224"/>
    </row>
    <row r="25" spans="2:44" s="30" customFormat="1">
      <c r="I25" s="69"/>
      <c r="K25" s="106"/>
      <c r="S25" s="54"/>
      <c r="T25" s="61"/>
      <c r="V25" s="61"/>
      <c r="W25" s="61"/>
      <c r="X25" s="61"/>
      <c r="AA25" s="60"/>
      <c r="AB25" s="237"/>
      <c r="AC25" s="54"/>
      <c r="AD25" s="54"/>
      <c r="AE25" s="54"/>
      <c r="AF25" s="54"/>
      <c r="AG25" s="54"/>
      <c r="AH25" s="61"/>
      <c r="AI25" s="61"/>
      <c r="AJ25" s="61"/>
      <c r="AK25" s="61"/>
      <c r="AL25" s="54"/>
      <c r="AM25" s="54"/>
      <c r="AN25" s="54"/>
      <c r="AO25" s="54"/>
      <c r="AP25" s="364"/>
      <c r="AR25" s="364"/>
    </row>
    <row r="26" spans="2:44" s="30" customFormat="1">
      <c r="I26" s="69"/>
      <c r="K26" s="106"/>
      <c r="S26" s="54"/>
      <c r="T26" s="61"/>
      <c r="V26" s="61"/>
      <c r="W26" s="61"/>
      <c r="X26" s="61"/>
      <c r="AA26" s="60"/>
      <c r="AB26" s="60"/>
      <c r="AC26" s="54"/>
      <c r="AD26" s="54"/>
      <c r="AE26" s="54"/>
      <c r="AF26" s="54"/>
      <c r="AG26" s="54"/>
      <c r="AH26" s="61"/>
      <c r="AI26" s="61"/>
      <c r="AJ26" s="61"/>
      <c r="AK26" s="61"/>
      <c r="AL26" s="54"/>
      <c r="AM26" s="54"/>
      <c r="AN26" s="54"/>
      <c r="AO26" s="54"/>
    </row>
    <row r="27" spans="2:44" s="30" customFormat="1">
      <c r="I27" s="69"/>
      <c r="K27" s="44"/>
      <c r="S27" s="41"/>
      <c r="T27" s="53"/>
      <c r="V27" s="53"/>
      <c r="W27" s="53"/>
      <c r="X27" s="53"/>
      <c r="AA27" s="58"/>
      <c r="AB27" s="58"/>
      <c r="AC27" s="41"/>
      <c r="AD27" s="41"/>
      <c r="AE27" s="41"/>
      <c r="AF27" s="41"/>
      <c r="AG27" s="41"/>
      <c r="AH27" s="53"/>
      <c r="AI27" s="53"/>
      <c r="AJ27" s="53"/>
      <c r="AK27" s="53"/>
      <c r="AL27" s="41"/>
      <c r="AM27" s="41"/>
      <c r="AN27" s="41"/>
      <c r="AO27" s="41"/>
    </row>
    <row r="28" spans="2:44" s="30" customFormat="1">
      <c r="I28" s="69"/>
      <c r="K28" s="44"/>
      <c r="S28" s="41"/>
      <c r="T28" s="53"/>
      <c r="V28" s="53"/>
      <c r="W28" s="53"/>
      <c r="X28" s="53"/>
      <c r="AA28" s="58"/>
      <c r="AB28" s="58"/>
      <c r="AC28" s="41"/>
      <c r="AD28" s="41"/>
      <c r="AE28" s="41"/>
      <c r="AF28" s="41"/>
      <c r="AG28" s="41"/>
      <c r="AH28" s="53"/>
      <c r="AI28" s="53"/>
      <c r="AJ28" s="53"/>
      <c r="AK28" s="53"/>
      <c r="AL28" s="41"/>
      <c r="AM28" s="41"/>
      <c r="AN28" s="41"/>
      <c r="AO28" s="41"/>
    </row>
    <row r="29" spans="2:44" s="30" customFormat="1">
      <c r="I29" s="69"/>
      <c r="K29" s="44"/>
      <c r="S29" s="41"/>
      <c r="T29" s="53"/>
      <c r="V29" s="53"/>
      <c r="W29" s="53"/>
      <c r="X29" s="53"/>
      <c r="AA29" s="58"/>
      <c r="AB29" s="58"/>
      <c r="AC29" s="41"/>
      <c r="AD29" s="41"/>
      <c r="AE29" s="41"/>
      <c r="AF29" s="41"/>
      <c r="AG29" s="41"/>
      <c r="AH29" s="53"/>
      <c r="AI29" s="53"/>
      <c r="AJ29" s="53"/>
      <c r="AK29" s="53"/>
      <c r="AL29" s="41"/>
      <c r="AM29" s="41"/>
      <c r="AN29" s="41"/>
      <c r="AO29" s="41"/>
    </row>
    <row r="30" spans="2:44" s="30" customFormat="1">
      <c r="I30" s="69"/>
      <c r="K30" s="44"/>
      <c r="S30" s="41"/>
      <c r="T30" s="53"/>
      <c r="V30" s="53"/>
      <c r="W30" s="53"/>
      <c r="X30" s="53"/>
      <c r="AA30" s="58"/>
      <c r="AB30" s="58"/>
      <c r="AC30" s="41"/>
      <c r="AD30" s="41"/>
      <c r="AE30" s="41"/>
      <c r="AF30" s="41"/>
      <c r="AG30" s="41"/>
      <c r="AH30" s="53"/>
      <c r="AI30" s="53"/>
      <c r="AJ30" s="53"/>
      <c r="AK30" s="53"/>
      <c r="AL30" s="41"/>
      <c r="AM30" s="41"/>
      <c r="AN30" s="41"/>
      <c r="AO30" s="41"/>
    </row>
    <row r="31" spans="2:44" s="30" customFormat="1">
      <c r="I31" s="69"/>
      <c r="K31" s="44"/>
      <c r="S31" s="41"/>
      <c r="T31" s="53"/>
      <c r="V31" s="53"/>
      <c r="W31" s="53"/>
      <c r="X31" s="53"/>
      <c r="AA31" s="58"/>
      <c r="AB31" s="58"/>
      <c r="AC31" s="41"/>
      <c r="AD31" s="41"/>
      <c r="AE31" s="41"/>
      <c r="AF31" s="41"/>
      <c r="AG31" s="41"/>
      <c r="AH31" s="53"/>
      <c r="AI31" s="53"/>
      <c r="AJ31" s="53"/>
      <c r="AK31" s="53"/>
      <c r="AL31" s="41"/>
      <c r="AM31" s="41"/>
      <c r="AN31" s="41"/>
      <c r="AO31" s="41"/>
    </row>
    <row r="32" spans="2:44" s="30" customFormat="1">
      <c r="I32" s="69"/>
      <c r="K32" s="44"/>
      <c r="S32" s="41"/>
      <c r="T32" s="53"/>
      <c r="V32" s="53"/>
      <c r="W32" s="53"/>
      <c r="X32" s="53"/>
      <c r="AA32" s="58"/>
      <c r="AB32" s="58"/>
      <c r="AC32" s="41"/>
      <c r="AD32" s="41"/>
      <c r="AE32" s="41"/>
      <c r="AF32" s="41"/>
      <c r="AG32" s="41"/>
      <c r="AH32" s="53"/>
      <c r="AI32" s="53"/>
      <c r="AJ32" s="53"/>
      <c r="AK32" s="53"/>
      <c r="AL32" s="41"/>
      <c r="AM32" s="41"/>
      <c r="AN32" s="41"/>
      <c r="AO32" s="41"/>
    </row>
    <row r="33" spans="9:41" s="30" customFormat="1">
      <c r="I33" s="69"/>
      <c r="K33" s="44"/>
      <c r="S33" s="41"/>
      <c r="T33" s="53"/>
      <c r="V33" s="53"/>
      <c r="W33" s="53"/>
      <c r="X33" s="53"/>
      <c r="AA33" s="58"/>
      <c r="AB33" s="58"/>
      <c r="AC33" s="41"/>
      <c r="AD33" s="41"/>
      <c r="AE33" s="41"/>
      <c r="AF33" s="41"/>
      <c r="AG33" s="41"/>
      <c r="AH33" s="53"/>
      <c r="AI33" s="53"/>
      <c r="AJ33" s="53"/>
      <c r="AK33" s="53"/>
      <c r="AL33" s="41"/>
      <c r="AM33" s="41"/>
      <c r="AN33" s="41"/>
      <c r="AO33" s="41"/>
    </row>
    <row r="34" spans="9:41" s="30" customFormat="1">
      <c r="I34" s="69"/>
      <c r="K34" s="44"/>
      <c r="S34" s="41"/>
      <c r="T34" s="53"/>
      <c r="V34" s="53"/>
      <c r="W34" s="53"/>
      <c r="X34" s="53"/>
      <c r="AA34" s="58"/>
      <c r="AB34" s="58"/>
      <c r="AC34" s="41"/>
      <c r="AD34" s="41"/>
      <c r="AE34" s="41"/>
      <c r="AF34" s="41"/>
      <c r="AG34" s="41"/>
      <c r="AH34" s="53"/>
      <c r="AI34" s="53"/>
      <c r="AJ34" s="53"/>
      <c r="AK34" s="53"/>
      <c r="AL34" s="41"/>
      <c r="AM34" s="41"/>
      <c r="AN34" s="41"/>
      <c r="AO34" s="41"/>
    </row>
    <row r="35" spans="9:41" s="30" customFormat="1">
      <c r="I35" s="69"/>
      <c r="K35" s="44"/>
      <c r="S35" s="41"/>
      <c r="T35" s="53"/>
      <c r="V35" s="53"/>
      <c r="W35" s="53"/>
      <c r="X35" s="53"/>
      <c r="AA35" s="58"/>
      <c r="AB35" s="58"/>
      <c r="AC35" s="41"/>
      <c r="AD35" s="41"/>
      <c r="AE35" s="41"/>
      <c r="AF35" s="41"/>
      <c r="AG35" s="41"/>
      <c r="AH35" s="53"/>
      <c r="AI35" s="53"/>
      <c r="AJ35" s="53"/>
      <c r="AK35" s="53"/>
      <c r="AL35" s="41"/>
      <c r="AM35" s="41"/>
      <c r="AN35" s="41"/>
      <c r="AO35" s="41"/>
    </row>
    <row r="36" spans="9:41" s="30" customFormat="1">
      <c r="I36" s="69"/>
      <c r="K36" s="44"/>
      <c r="S36" s="41"/>
      <c r="T36" s="53"/>
      <c r="V36" s="53"/>
      <c r="W36" s="53"/>
      <c r="X36" s="53"/>
      <c r="AA36" s="58"/>
      <c r="AB36" s="58"/>
      <c r="AC36" s="41"/>
      <c r="AD36" s="41"/>
      <c r="AE36" s="41"/>
      <c r="AF36" s="41"/>
      <c r="AG36" s="41"/>
      <c r="AH36" s="53"/>
      <c r="AI36" s="53"/>
      <c r="AJ36" s="53"/>
      <c r="AK36" s="53"/>
      <c r="AL36" s="41"/>
      <c r="AM36" s="41"/>
      <c r="AN36" s="41"/>
      <c r="AO36" s="41"/>
    </row>
    <row r="37" spans="9:41" s="30" customFormat="1">
      <c r="I37" s="69"/>
      <c r="K37" s="44"/>
      <c r="S37" s="41"/>
      <c r="T37" s="53"/>
      <c r="V37" s="53"/>
      <c r="W37" s="53"/>
      <c r="X37" s="53"/>
      <c r="AA37" s="58"/>
      <c r="AB37" s="58"/>
      <c r="AC37" s="41"/>
      <c r="AD37" s="41"/>
      <c r="AE37" s="41"/>
      <c r="AF37" s="41"/>
      <c r="AG37" s="41"/>
      <c r="AH37" s="53"/>
      <c r="AI37" s="53"/>
      <c r="AJ37" s="53"/>
      <c r="AK37" s="53"/>
      <c r="AL37" s="41"/>
      <c r="AM37" s="41"/>
      <c r="AN37" s="41"/>
      <c r="AO37" s="41"/>
    </row>
    <row r="38" spans="9:41" s="30" customFormat="1">
      <c r="I38" s="69"/>
      <c r="K38" s="44"/>
      <c r="S38" s="41"/>
      <c r="T38" s="53"/>
      <c r="V38" s="53"/>
      <c r="W38" s="53"/>
      <c r="X38" s="53"/>
      <c r="AA38" s="58"/>
      <c r="AB38" s="58"/>
      <c r="AC38" s="41"/>
      <c r="AD38" s="41"/>
      <c r="AE38" s="41"/>
      <c r="AF38" s="41"/>
      <c r="AG38" s="41"/>
      <c r="AH38" s="53"/>
      <c r="AI38" s="53"/>
      <c r="AJ38" s="53"/>
      <c r="AK38" s="53"/>
      <c r="AL38" s="41"/>
      <c r="AM38" s="41"/>
      <c r="AN38" s="41"/>
      <c r="AO38" s="41"/>
    </row>
    <row r="39" spans="9:41" s="30" customFormat="1">
      <c r="I39" s="69"/>
      <c r="K39" s="44"/>
      <c r="S39" s="41"/>
      <c r="T39" s="53"/>
      <c r="V39" s="53"/>
      <c r="W39" s="53"/>
      <c r="X39" s="53"/>
      <c r="AA39" s="58"/>
      <c r="AB39" s="58"/>
      <c r="AC39" s="41"/>
      <c r="AD39" s="41"/>
      <c r="AE39" s="41"/>
      <c r="AF39" s="41"/>
      <c r="AG39" s="41"/>
      <c r="AH39" s="53"/>
      <c r="AI39" s="53"/>
      <c r="AJ39" s="53"/>
      <c r="AK39" s="53"/>
      <c r="AL39" s="41"/>
      <c r="AM39" s="41"/>
      <c r="AN39" s="41"/>
      <c r="AO39" s="41"/>
    </row>
    <row r="40" spans="9:41" s="30" customFormat="1">
      <c r="I40" s="69"/>
      <c r="K40" s="44"/>
      <c r="S40" s="41"/>
      <c r="T40" s="53"/>
      <c r="V40" s="53"/>
      <c r="W40" s="53"/>
      <c r="X40" s="53"/>
      <c r="AA40" s="58"/>
      <c r="AB40" s="58"/>
      <c r="AC40" s="41"/>
      <c r="AD40" s="41"/>
      <c r="AE40" s="41"/>
      <c r="AF40" s="41"/>
      <c r="AG40" s="41"/>
      <c r="AH40" s="53"/>
      <c r="AI40" s="53"/>
      <c r="AJ40" s="53"/>
      <c r="AK40" s="53"/>
      <c r="AL40" s="41"/>
      <c r="AM40" s="41"/>
      <c r="AN40" s="41"/>
      <c r="AO40" s="41"/>
    </row>
    <row r="41" spans="9:41" s="30" customFormat="1">
      <c r="I41" s="69"/>
      <c r="K41" s="44"/>
      <c r="S41" s="41"/>
      <c r="T41" s="53"/>
      <c r="V41" s="53"/>
      <c r="W41" s="53"/>
      <c r="X41" s="53"/>
      <c r="AA41" s="58"/>
      <c r="AB41" s="58"/>
      <c r="AC41" s="41"/>
      <c r="AD41" s="41"/>
      <c r="AE41" s="41"/>
      <c r="AF41" s="41"/>
      <c r="AG41" s="41"/>
      <c r="AH41" s="53"/>
      <c r="AI41" s="53"/>
      <c r="AJ41" s="53"/>
      <c r="AK41" s="53"/>
      <c r="AL41" s="41"/>
      <c r="AM41" s="41"/>
      <c r="AN41" s="41"/>
      <c r="AO41" s="41"/>
    </row>
    <row r="42" spans="9:41" s="30" customFormat="1">
      <c r="I42" s="69"/>
      <c r="K42" s="44"/>
      <c r="S42" s="41"/>
      <c r="T42" s="53"/>
      <c r="V42" s="53"/>
      <c r="W42" s="53"/>
      <c r="X42" s="53"/>
      <c r="AA42" s="58"/>
      <c r="AB42" s="58"/>
      <c r="AC42" s="41"/>
      <c r="AD42" s="41"/>
      <c r="AE42" s="41"/>
      <c r="AF42" s="41"/>
      <c r="AG42" s="41"/>
      <c r="AH42" s="53"/>
      <c r="AI42" s="53"/>
      <c r="AJ42" s="53"/>
      <c r="AK42" s="53"/>
      <c r="AL42" s="41"/>
      <c r="AM42" s="41"/>
      <c r="AN42" s="41"/>
      <c r="AO42" s="41"/>
    </row>
    <row r="43" spans="9:41" s="30" customFormat="1">
      <c r="I43" s="69"/>
      <c r="K43" s="44"/>
      <c r="S43" s="41"/>
      <c r="T43" s="53"/>
      <c r="V43" s="53"/>
      <c r="W43" s="53"/>
      <c r="X43" s="53"/>
      <c r="AA43" s="58"/>
      <c r="AB43" s="58"/>
      <c r="AC43" s="41"/>
      <c r="AD43" s="41"/>
      <c r="AE43" s="41"/>
      <c r="AF43" s="41"/>
      <c r="AG43" s="41"/>
      <c r="AH43" s="53"/>
      <c r="AI43" s="53"/>
      <c r="AJ43" s="53"/>
      <c r="AK43" s="53"/>
      <c r="AL43" s="41"/>
      <c r="AM43" s="41"/>
      <c r="AN43" s="41"/>
      <c r="AO43" s="41"/>
    </row>
    <row r="44" spans="9:41" s="30" customFormat="1">
      <c r="I44" s="69"/>
      <c r="K44" s="44"/>
      <c r="S44" s="41"/>
      <c r="T44" s="53"/>
      <c r="V44" s="53"/>
      <c r="W44" s="53"/>
      <c r="X44" s="53"/>
      <c r="AA44" s="58"/>
      <c r="AB44" s="58"/>
      <c r="AC44" s="41"/>
      <c r="AD44" s="41"/>
      <c r="AE44" s="41"/>
      <c r="AF44" s="41"/>
      <c r="AG44" s="41"/>
      <c r="AH44" s="53"/>
      <c r="AI44" s="53"/>
      <c r="AJ44" s="53"/>
      <c r="AK44" s="53"/>
      <c r="AL44" s="41"/>
      <c r="AM44" s="41"/>
      <c r="AN44" s="41"/>
      <c r="AO44" s="41"/>
    </row>
    <row r="45" spans="9:41" s="30" customFormat="1">
      <c r="I45" s="69"/>
      <c r="K45" s="44"/>
      <c r="S45" s="41"/>
      <c r="T45" s="53"/>
      <c r="V45" s="53"/>
      <c r="W45" s="53"/>
      <c r="X45" s="53"/>
      <c r="AA45" s="58"/>
      <c r="AB45" s="58"/>
      <c r="AC45" s="41"/>
      <c r="AD45" s="41"/>
      <c r="AE45" s="41"/>
      <c r="AF45" s="41"/>
      <c r="AG45" s="41"/>
      <c r="AH45" s="53"/>
      <c r="AI45" s="53"/>
      <c r="AJ45" s="53"/>
      <c r="AK45" s="53"/>
      <c r="AL45" s="41"/>
      <c r="AM45" s="41"/>
      <c r="AN45" s="41"/>
      <c r="AO45" s="41"/>
    </row>
    <row r="46" spans="9:41" s="30" customFormat="1">
      <c r="I46" s="69"/>
      <c r="K46" s="44"/>
      <c r="S46" s="41"/>
      <c r="T46" s="53"/>
      <c r="V46" s="53"/>
      <c r="W46" s="53"/>
      <c r="X46" s="53"/>
      <c r="AA46" s="58"/>
      <c r="AB46" s="58"/>
      <c r="AC46" s="41"/>
      <c r="AD46" s="41"/>
      <c r="AE46" s="41"/>
      <c r="AF46" s="41"/>
      <c r="AG46" s="41"/>
      <c r="AH46" s="53"/>
      <c r="AI46" s="53"/>
      <c r="AJ46" s="53"/>
      <c r="AK46" s="53"/>
      <c r="AL46" s="41"/>
      <c r="AM46" s="41"/>
      <c r="AN46" s="41"/>
      <c r="AO46" s="41"/>
    </row>
    <row r="47" spans="9:41" s="30" customFormat="1">
      <c r="I47" s="69"/>
      <c r="K47" s="44"/>
      <c r="S47" s="41"/>
      <c r="T47" s="53"/>
      <c r="V47" s="53"/>
      <c r="W47" s="53"/>
      <c r="X47" s="53"/>
      <c r="AA47" s="58"/>
      <c r="AB47" s="58"/>
      <c r="AC47" s="41"/>
      <c r="AD47" s="41"/>
      <c r="AE47" s="41"/>
      <c r="AF47" s="41"/>
      <c r="AG47" s="41"/>
      <c r="AH47" s="53"/>
      <c r="AI47" s="53"/>
      <c r="AJ47" s="53"/>
      <c r="AK47" s="53"/>
      <c r="AL47" s="41"/>
      <c r="AM47" s="41"/>
      <c r="AN47" s="41"/>
      <c r="AO47" s="41"/>
    </row>
    <row r="48" spans="9:41" s="30" customFormat="1">
      <c r="I48" s="69"/>
      <c r="K48" s="44"/>
      <c r="S48" s="41"/>
      <c r="T48" s="53"/>
      <c r="V48" s="53"/>
      <c r="W48" s="53"/>
      <c r="X48" s="53"/>
      <c r="AA48" s="58"/>
      <c r="AB48" s="58"/>
      <c r="AC48" s="41"/>
      <c r="AD48" s="41"/>
      <c r="AE48" s="41"/>
      <c r="AF48" s="41"/>
      <c r="AG48" s="41"/>
      <c r="AH48" s="53"/>
      <c r="AI48" s="53"/>
      <c r="AJ48" s="53"/>
      <c r="AK48" s="53"/>
      <c r="AL48" s="41"/>
      <c r="AM48" s="41"/>
      <c r="AN48" s="41"/>
      <c r="AO48" s="41"/>
    </row>
    <row r="49" spans="9:41" s="30" customFormat="1">
      <c r="I49" s="69"/>
      <c r="K49" s="44"/>
      <c r="S49" s="41"/>
      <c r="T49" s="53"/>
      <c r="V49" s="53"/>
      <c r="W49" s="53"/>
      <c r="X49" s="53"/>
      <c r="AA49" s="58"/>
      <c r="AB49" s="58"/>
      <c r="AC49" s="41"/>
      <c r="AD49" s="41"/>
      <c r="AE49" s="41"/>
      <c r="AF49" s="41"/>
      <c r="AG49" s="41"/>
      <c r="AH49" s="53"/>
      <c r="AI49" s="53"/>
      <c r="AJ49" s="53"/>
      <c r="AK49" s="53"/>
      <c r="AL49" s="41"/>
      <c r="AM49" s="41"/>
      <c r="AN49" s="41"/>
      <c r="AO49" s="41"/>
    </row>
    <row r="50" spans="9:41" s="30" customFormat="1">
      <c r="I50" s="69"/>
      <c r="K50" s="44"/>
      <c r="S50" s="41"/>
      <c r="T50" s="53"/>
      <c r="V50" s="53"/>
      <c r="W50" s="53"/>
      <c r="X50" s="53"/>
      <c r="AA50" s="58"/>
      <c r="AB50" s="58"/>
      <c r="AC50" s="41"/>
      <c r="AD50" s="41"/>
      <c r="AE50" s="41"/>
      <c r="AF50" s="41"/>
      <c r="AG50" s="41"/>
      <c r="AH50" s="53"/>
      <c r="AI50" s="53"/>
      <c r="AJ50" s="53"/>
      <c r="AK50" s="53"/>
      <c r="AL50" s="41"/>
      <c r="AM50" s="41"/>
      <c r="AN50" s="41"/>
      <c r="AO50" s="41"/>
    </row>
    <row r="51" spans="9:41" s="30" customFormat="1">
      <c r="I51" s="69"/>
      <c r="K51" s="44"/>
      <c r="S51" s="41"/>
      <c r="T51" s="53"/>
      <c r="V51" s="53"/>
      <c r="W51" s="53"/>
      <c r="X51" s="53"/>
      <c r="AA51" s="58"/>
      <c r="AB51" s="58"/>
      <c r="AC51" s="41"/>
      <c r="AD51" s="41"/>
      <c r="AE51" s="41"/>
      <c r="AF51" s="41"/>
      <c r="AG51" s="41"/>
      <c r="AH51" s="53"/>
      <c r="AI51" s="53"/>
      <c r="AJ51" s="53"/>
      <c r="AK51" s="53"/>
      <c r="AL51" s="41"/>
      <c r="AM51" s="41"/>
      <c r="AN51" s="41"/>
      <c r="AO51" s="41"/>
    </row>
    <row r="52" spans="9:41" s="30" customFormat="1">
      <c r="I52" s="69"/>
      <c r="K52" s="44"/>
      <c r="S52" s="41"/>
      <c r="T52" s="53"/>
      <c r="V52" s="53"/>
      <c r="W52" s="53"/>
      <c r="X52" s="53"/>
      <c r="AA52" s="58"/>
      <c r="AB52" s="58"/>
      <c r="AC52" s="41"/>
      <c r="AD52" s="41"/>
      <c r="AE52" s="41"/>
      <c r="AF52" s="41"/>
      <c r="AG52" s="41"/>
      <c r="AH52" s="53"/>
      <c r="AI52" s="53"/>
      <c r="AJ52" s="53"/>
      <c r="AK52" s="53"/>
      <c r="AL52" s="41"/>
      <c r="AM52" s="41"/>
      <c r="AN52" s="41"/>
      <c r="AO52" s="41"/>
    </row>
    <row r="53" spans="9:41" s="30" customFormat="1">
      <c r="I53" s="69"/>
      <c r="K53" s="44"/>
      <c r="S53" s="41"/>
      <c r="T53" s="53"/>
      <c r="V53" s="53"/>
      <c r="W53" s="53"/>
      <c r="X53" s="53"/>
      <c r="AA53" s="58"/>
      <c r="AB53" s="58"/>
      <c r="AC53" s="41"/>
      <c r="AD53" s="41"/>
      <c r="AE53" s="41"/>
      <c r="AF53" s="41"/>
      <c r="AG53" s="41"/>
      <c r="AH53" s="53"/>
      <c r="AI53" s="53"/>
      <c r="AJ53" s="53"/>
      <c r="AK53" s="53"/>
      <c r="AL53" s="41"/>
      <c r="AM53" s="41"/>
      <c r="AN53" s="41"/>
      <c r="AO53" s="41"/>
    </row>
    <row r="54" spans="9:41" s="30" customFormat="1">
      <c r="I54" s="69"/>
      <c r="K54" s="44"/>
      <c r="S54" s="41"/>
      <c r="T54" s="53"/>
      <c r="V54" s="53"/>
      <c r="W54" s="53"/>
      <c r="X54" s="53"/>
      <c r="AA54" s="58"/>
      <c r="AB54" s="58"/>
      <c r="AC54" s="41"/>
      <c r="AD54" s="41"/>
      <c r="AE54" s="41"/>
      <c r="AF54" s="41"/>
      <c r="AG54" s="41"/>
      <c r="AH54" s="53"/>
      <c r="AI54" s="53"/>
      <c r="AJ54" s="53"/>
      <c r="AK54" s="53"/>
      <c r="AL54" s="41"/>
      <c r="AM54" s="41"/>
      <c r="AN54" s="41"/>
      <c r="AO54" s="41"/>
    </row>
    <row r="55" spans="9:41" s="30" customFormat="1">
      <c r="I55" s="69"/>
      <c r="K55" s="44"/>
      <c r="S55" s="41"/>
      <c r="T55" s="53"/>
      <c r="V55" s="53"/>
      <c r="W55" s="53"/>
      <c r="X55" s="53"/>
      <c r="AA55" s="58"/>
      <c r="AB55" s="58"/>
      <c r="AC55" s="41"/>
      <c r="AD55" s="41"/>
      <c r="AE55" s="41"/>
      <c r="AF55" s="41"/>
      <c r="AG55" s="41"/>
      <c r="AH55" s="53"/>
      <c r="AI55" s="53"/>
      <c r="AJ55" s="53"/>
      <c r="AK55" s="53"/>
      <c r="AL55" s="41"/>
      <c r="AM55" s="41"/>
      <c r="AN55" s="41"/>
      <c r="AO55" s="41"/>
    </row>
    <row r="56" spans="9:41" s="30" customFormat="1">
      <c r="I56" s="69"/>
      <c r="K56" s="44"/>
      <c r="S56" s="41"/>
      <c r="T56" s="53"/>
      <c r="V56" s="53"/>
      <c r="W56" s="53"/>
      <c r="X56" s="53"/>
      <c r="AA56" s="58"/>
      <c r="AB56" s="58"/>
      <c r="AC56" s="41"/>
      <c r="AD56" s="41"/>
      <c r="AE56" s="41"/>
      <c r="AF56" s="41"/>
      <c r="AG56" s="41"/>
      <c r="AH56" s="53"/>
      <c r="AI56" s="53"/>
      <c r="AJ56" s="53"/>
      <c r="AK56" s="53"/>
      <c r="AL56" s="41"/>
      <c r="AM56" s="41"/>
      <c r="AN56" s="41"/>
      <c r="AO56" s="41"/>
    </row>
    <row r="57" spans="9:41" s="30" customFormat="1">
      <c r="I57" s="69"/>
      <c r="K57" s="44"/>
      <c r="S57" s="41"/>
      <c r="T57" s="53"/>
      <c r="V57" s="53"/>
      <c r="W57" s="53"/>
      <c r="X57" s="53"/>
      <c r="AA57" s="58"/>
      <c r="AB57" s="58"/>
      <c r="AC57" s="41"/>
      <c r="AD57" s="41"/>
      <c r="AE57" s="41"/>
      <c r="AF57" s="41"/>
      <c r="AG57" s="41"/>
      <c r="AH57" s="53"/>
      <c r="AI57" s="53"/>
      <c r="AJ57" s="53"/>
      <c r="AK57" s="53"/>
      <c r="AL57" s="41"/>
      <c r="AM57" s="41"/>
      <c r="AN57" s="41"/>
      <c r="AO57" s="41"/>
    </row>
    <row r="58" spans="9:41" s="30" customFormat="1">
      <c r="I58" s="69"/>
      <c r="K58" s="44"/>
      <c r="S58" s="41"/>
      <c r="T58" s="53"/>
      <c r="V58" s="53"/>
      <c r="W58" s="53"/>
      <c r="X58" s="53"/>
      <c r="AA58" s="58"/>
      <c r="AB58" s="58"/>
      <c r="AC58" s="41"/>
      <c r="AD58" s="41"/>
      <c r="AE58" s="41"/>
      <c r="AF58" s="41"/>
      <c r="AG58" s="41"/>
      <c r="AH58" s="53"/>
      <c r="AI58" s="53"/>
      <c r="AJ58" s="53"/>
      <c r="AK58" s="53"/>
      <c r="AL58" s="41"/>
      <c r="AM58" s="41"/>
      <c r="AN58" s="41"/>
      <c r="AO58" s="41"/>
    </row>
    <row r="59" spans="9:41" s="30" customFormat="1">
      <c r="I59" s="69"/>
      <c r="K59" s="44"/>
      <c r="S59" s="41"/>
      <c r="T59" s="53"/>
      <c r="V59" s="53"/>
      <c r="W59" s="53"/>
      <c r="X59" s="53"/>
      <c r="AA59" s="58"/>
      <c r="AB59" s="58"/>
      <c r="AC59" s="41"/>
      <c r="AD59" s="41"/>
      <c r="AE59" s="41"/>
      <c r="AF59" s="41"/>
      <c r="AG59" s="41"/>
      <c r="AH59" s="53"/>
      <c r="AI59" s="53"/>
      <c r="AJ59" s="53"/>
      <c r="AK59" s="53"/>
      <c r="AL59" s="41"/>
      <c r="AM59" s="41"/>
      <c r="AN59" s="41"/>
      <c r="AO59" s="41"/>
    </row>
    <row r="60" spans="9:41" s="30" customFormat="1">
      <c r="I60" s="69"/>
      <c r="K60" s="44"/>
      <c r="S60" s="41"/>
      <c r="T60" s="53"/>
      <c r="V60" s="53"/>
      <c r="W60" s="53"/>
      <c r="X60" s="53"/>
      <c r="AA60" s="58"/>
      <c r="AB60" s="58"/>
      <c r="AC60" s="41"/>
      <c r="AD60" s="41"/>
      <c r="AE60" s="41"/>
      <c r="AF60" s="41"/>
      <c r="AG60" s="41"/>
      <c r="AH60" s="53"/>
      <c r="AI60" s="53"/>
      <c r="AJ60" s="53"/>
      <c r="AK60" s="53"/>
      <c r="AL60" s="41"/>
      <c r="AM60" s="41"/>
      <c r="AN60" s="41"/>
      <c r="AO60" s="41"/>
    </row>
    <row r="61" spans="9:41" s="30" customFormat="1">
      <c r="I61" s="69"/>
      <c r="K61" s="44"/>
      <c r="S61" s="41"/>
      <c r="T61" s="53"/>
      <c r="V61" s="53"/>
      <c r="W61" s="53"/>
      <c r="X61" s="53"/>
      <c r="AA61" s="58"/>
      <c r="AB61" s="58"/>
      <c r="AC61" s="41"/>
      <c r="AD61" s="41"/>
      <c r="AE61" s="41"/>
      <c r="AF61" s="41"/>
      <c r="AG61" s="41"/>
      <c r="AH61" s="53"/>
      <c r="AI61" s="53"/>
      <c r="AJ61" s="53"/>
      <c r="AK61" s="53"/>
      <c r="AL61" s="41"/>
      <c r="AM61" s="41"/>
      <c r="AN61" s="41"/>
      <c r="AO61" s="41"/>
    </row>
    <row r="62" spans="9:41" s="30" customFormat="1">
      <c r="I62" s="69"/>
      <c r="K62" s="44"/>
      <c r="S62" s="41"/>
      <c r="T62" s="53"/>
      <c r="V62" s="53"/>
      <c r="W62" s="53"/>
      <c r="X62" s="53"/>
      <c r="AA62" s="58"/>
      <c r="AB62" s="58"/>
      <c r="AC62" s="41"/>
      <c r="AD62" s="41"/>
      <c r="AE62" s="41"/>
      <c r="AF62" s="41"/>
      <c r="AG62" s="41"/>
      <c r="AH62" s="53"/>
      <c r="AI62" s="53"/>
      <c r="AJ62" s="53"/>
      <c r="AK62" s="53"/>
      <c r="AL62" s="41"/>
      <c r="AM62" s="41"/>
      <c r="AN62" s="41"/>
      <c r="AO62" s="41"/>
    </row>
    <row r="63" spans="9:41" s="30" customFormat="1">
      <c r="I63" s="69"/>
      <c r="K63" s="44"/>
      <c r="S63" s="41"/>
      <c r="T63" s="53"/>
      <c r="V63" s="53"/>
      <c r="W63" s="53"/>
      <c r="X63" s="53"/>
      <c r="AA63" s="58"/>
      <c r="AB63" s="58"/>
      <c r="AC63" s="41"/>
      <c r="AD63" s="41"/>
      <c r="AE63" s="41"/>
      <c r="AF63" s="41"/>
      <c r="AG63" s="41"/>
      <c r="AH63" s="53"/>
      <c r="AI63" s="53"/>
      <c r="AJ63" s="53"/>
      <c r="AK63" s="53"/>
      <c r="AL63" s="41"/>
      <c r="AM63" s="41"/>
      <c r="AN63" s="41"/>
      <c r="AO63" s="41"/>
    </row>
    <row r="64" spans="9:41" s="30" customFormat="1">
      <c r="I64" s="69"/>
      <c r="K64" s="44"/>
      <c r="S64" s="41"/>
      <c r="T64" s="53"/>
      <c r="V64" s="53"/>
      <c r="W64" s="53"/>
      <c r="X64" s="53"/>
      <c r="AA64" s="58"/>
      <c r="AB64" s="58"/>
      <c r="AC64" s="41"/>
      <c r="AD64" s="41"/>
      <c r="AE64" s="41"/>
      <c r="AF64" s="41"/>
      <c r="AG64" s="41"/>
      <c r="AH64" s="53"/>
      <c r="AI64" s="53"/>
      <c r="AJ64" s="53"/>
      <c r="AK64" s="53"/>
      <c r="AL64" s="41"/>
      <c r="AM64" s="41"/>
      <c r="AN64" s="41"/>
      <c r="AO64" s="41"/>
    </row>
    <row r="65" spans="9:41" s="30" customFormat="1">
      <c r="I65" s="69"/>
      <c r="K65" s="44"/>
      <c r="S65" s="41"/>
      <c r="T65" s="53"/>
      <c r="V65" s="53"/>
      <c r="W65" s="53"/>
      <c r="X65" s="53"/>
      <c r="AA65" s="58"/>
      <c r="AB65" s="58"/>
      <c r="AC65" s="41"/>
      <c r="AD65" s="41"/>
      <c r="AE65" s="41"/>
      <c r="AF65" s="41"/>
      <c r="AG65" s="41"/>
      <c r="AH65" s="53"/>
      <c r="AI65" s="53"/>
      <c r="AJ65" s="53"/>
      <c r="AK65" s="53"/>
      <c r="AL65" s="41"/>
      <c r="AM65" s="41"/>
      <c r="AN65" s="41"/>
      <c r="AO65" s="41"/>
    </row>
    <row r="66" spans="9:41" s="30" customFormat="1">
      <c r="I66" s="69"/>
      <c r="K66" s="44"/>
      <c r="S66" s="41"/>
      <c r="T66" s="53"/>
      <c r="V66" s="53"/>
      <c r="W66" s="53"/>
      <c r="X66" s="53"/>
      <c r="AA66" s="58"/>
      <c r="AB66" s="58"/>
      <c r="AC66" s="41"/>
      <c r="AD66" s="41"/>
      <c r="AE66" s="41"/>
      <c r="AF66" s="41"/>
      <c r="AG66" s="41"/>
      <c r="AH66" s="53"/>
      <c r="AI66" s="53"/>
      <c r="AJ66" s="53"/>
      <c r="AK66" s="53"/>
      <c r="AL66" s="41"/>
      <c r="AM66" s="41"/>
      <c r="AN66" s="41"/>
      <c r="AO66" s="41"/>
    </row>
    <row r="67" spans="9:41" s="30" customFormat="1">
      <c r="I67" s="69"/>
      <c r="K67" s="44"/>
      <c r="S67" s="41"/>
      <c r="T67" s="53"/>
      <c r="V67" s="53"/>
      <c r="W67" s="53"/>
      <c r="X67" s="53"/>
      <c r="AA67" s="58"/>
      <c r="AB67" s="58"/>
      <c r="AC67" s="41"/>
      <c r="AD67" s="41"/>
      <c r="AE67" s="41"/>
      <c r="AF67" s="41"/>
      <c r="AG67" s="41"/>
      <c r="AH67" s="53"/>
      <c r="AI67" s="53"/>
      <c r="AJ67" s="53"/>
      <c r="AK67" s="53"/>
      <c r="AL67" s="41"/>
      <c r="AM67" s="41"/>
      <c r="AN67" s="41"/>
      <c r="AO67" s="41"/>
    </row>
    <row r="68" spans="9:41" s="30" customFormat="1">
      <c r="I68" s="69"/>
      <c r="K68" s="44"/>
      <c r="S68" s="41"/>
      <c r="T68" s="53"/>
      <c r="V68" s="53"/>
      <c r="W68" s="53"/>
      <c r="X68" s="53"/>
      <c r="AA68" s="58"/>
      <c r="AB68" s="58"/>
      <c r="AC68" s="41"/>
      <c r="AD68" s="41"/>
      <c r="AE68" s="41"/>
      <c r="AF68" s="41"/>
      <c r="AG68" s="41"/>
      <c r="AH68" s="53"/>
      <c r="AI68" s="53"/>
      <c r="AJ68" s="53"/>
      <c r="AK68" s="53"/>
      <c r="AL68" s="41"/>
      <c r="AM68" s="41"/>
      <c r="AN68" s="41"/>
      <c r="AO68" s="41"/>
    </row>
    <row r="69" spans="9:41" s="30" customFormat="1">
      <c r="I69" s="69"/>
      <c r="K69" s="44"/>
      <c r="S69" s="41"/>
      <c r="T69" s="53"/>
      <c r="V69" s="53"/>
      <c r="W69" s="53"/>
      <c r="X69" s="53"/>
      <c r="AA69" s="58"/>
      <c r="AB69" s="58"/>
      <c r="AC69" s="41"/>
      <c r="AD69" s="41"/>
      <c r="AE69" s="41"/>
      <c r="AF69" s="41"/>
      <c r="AG69" s="41"/>
      <c r="AH69" s="53"/>
      <c r="AI69" s="53"/>
      <c r="AJ69" s="53"/>
      <c r="AK69" s="53"/>
      <c r="AL69" s="41"/>
      <c r="AM69" s="41"/>
      <c r="AN69" s="41"/>
      <c r="AO69" s="41"/>
    </row>
    <row r="70" spans="9:41" s="30" customFormat="1">
      <c r="I70" s="69"/>
      <c r="K70" s="44"/>
      <c r="S70" s="41"/>
      <c r="T70" s="53"/>
      <c r="V70" s="53"/>
      <c r="W70" s="53"/>
      <c r="X70" s="53"/>
      <c r="AA70" s="58"/>
      <c r="AB70" s="58"/>
      <c r="AC70" s="41"/>
      <c r="AD70" s="41"/>
      <c r="AE70" s="41"/>
      <c r="AF70" s="41"/>
      <c r="AG70" s="41"/>
      <c r="AH70" s="53"/>
      <c r="AI70" s="53"/>
      <c r="AJ70" s="53"/>
      <c r="AK70" s="53"/>
      <c r="AL70" s="41"/>
      <c r="AM70" s="41"/>
      <c r="AN70" s="41"/>
      <c r="AO70" s="41"/>
    </row>
    <row r="71" spans="9:41" s="30" customFormat="1">
      <c r="I71" s="69"/>
      <c r="K71" s="44"/>
      <c r="S71" s="41"/>
      <c r="T71" s="53"/>
      <c r="V71" s="53"/>
      <c r="W71" s="53"/>
      <c r="X71" s="53"/>
      <c r="AA71" s="58"/>
      <c r="AB71" s="58"/>
      <c r="AC71" s="41"/>
      <c r="AD71" s="41"/>
      <c r="AE71" s="41"/>
      <c r="AF71" s="41"/>
      <c r="AG71" s="41"/>
      <c r="AH71" s="53"/>
      <c r="AI71" s="53"/>
      <c r="AJ71" s="53"/>
      <c r="AK71" s="53"/>
      <c r="AL71" s="41"/>
      <c r="AM71" s="41"/>
      <c r="AN71" s="41"/>
      <c r="AO71" s="41"/>
    </row>
    <row r="72" spans="9:41" s="30" customFormat="1">
      <c r="I72" s="69"/>
      <c r="K72" s="44"/>
      <c r="S72" s="41"/>
      <c r="T72" s="53"/>
      <c r="V72" s="53"/>
      <c r="W72" s="53"/>
      <c r="X72" s="53"/>
      <c r="AA72" s="58"/>
      <c r="AB72" s="58"/>
      <c r="AC72" s="41"/>
      <c r="AD72" s="41"/>
      <c r="AE72" s="41"/>
      <c r="AF72" s="41"/>
      <c r="AG72" s="41"/>
      <c r="AH72" s="53"/>
      <c r="AI72" s="53"/>
      <c r="AJ72" s="53"/>
      <c r="AK72" s="53"/>
      <c r="AL72" s="41"/>
      <c r="AM72" s="41"/>
      <c r="AN72" s="41"/>
      <c r="AO72" s="41"/>
    </row>
    <row r="73" spans="9:41" s="30" customFormat="1">
      <c r="I73" s="69"/>
      <c r="K73" s="44"/>
      <c r="S73" s="41"/>
      <c r="T73" s="53"/>
      <c r="V73" s="53"/>
      <c r="W73" s="53"/>
      <c r="X73" s="53"/>
      <c r="AA73" s="58"/>
      <c r="AB73" s="58"/>
      <c r="AC73" s="41"/>
      <c r="AD73" s="41"/>
      <c r="AE73" s="41"/>
      <c r="AF73" s="41"/>
      <c r="AG73" s="41"/>
      <c r="AH73" s="53"/>
      <c r="AI73" s="53"/>
      <c r="AJ73" s="53"/>
      <c r="AK73" s="53"/>
      <c r="AL73" s="41"/>
      <c r="AM73" s="41"/>
      <c r="AN73" s="41"/>
      <c r="AO73" s="41"/>
    </row>
    <row r="74" spans="9:41" s="30" customFormat="1">
      <c r="I74" s="69"/>
      <c r="K74" s="44"/>
      <c r="S74" s="41"/>
      <c r="T74" s="53"/>
      <c r="V74" s="53"/>
      <c r="W74" s="53"/>
      <c r="X74" s="53"/>
      <c r="AA74" s="58"/>
      <c r="AB74" s="58"/>
      <c r="AC74" s="41"/>
      <c r="AD74" s="41"/>
      <c r="AE74" s="41"/>
      <c r="AF74" s="41"/>
      <c r="AG74" s="41"/>
      <c r="AH74" s="53"/>
      <c r="AI74" s="53"/>
      <c r="AJ74" s="53"/>
      <c r="AK74" s="53"/>
      <c r="AL74" s="41"/>
      <c r="AM74" s="41"/>
      <c r="AN74" s="41"/>
      <c r="AO74" s="41"/>
    </row>
    <row r="75" spans="9:41" s="30" customFormat="1">
      <c r="I75" s="69"/>
      <c r="K75" s="44"/>
      <c r="S75" s="41"/>
      <c r="T75" s="53"/>
      <c r="V75" s="53"/>
      <c r="W75" s="53"/>
      <c r="X75" s="53"/>
      <c r="AA75" s="58"/>
      <c r="AB75" s="58"/>
      <c r="AC75" s="41"/>
      <c r="AD75" s="41"/>
      <c r="AE75" s="41"/>
      <c r="AF75" s="41"/>
      <c r="AG75" s="41"/>
      <c r="AH75" s="53"/>
      <c r="AI75" s="53"/>
      <c r="AJ75" s="53"/>
      <c r="AK75" s="53"/>
      <c r="AL75" s="41"/>
      <c r="AM75" s="41"/>
      <c r="AN75" s="41"/>
      <c r="AO75" s="41"/>
    </row>
    <row r="76" spans="9:41" s="30" customFormat="1">
      <c r="I76" s="69"/>
      <c r="K76" s="44"/>
      <c r="S76" s="41"/>
      <c r="T76" s="53"/>
      <c r="V76" s="53"/>
      <c r="W76" s="53"/>
      <c r="X76" s="53"/>
      <c r="AA76" s="58"/>
      <c r="AB76" s="58"/>
      <c r="AC76" s="41"/>
      <c r="AD76" s="41"/>
      <c r="AE76" s="41"/>
      <c r="AF76" s="41"/>
      <c r="AG76" s="41"/>
      <c r="AH76" s="53"/>
      <c r="AI76" s="53"/>
      <c r="AJ76" s="53"/>
      <c r="AK76" s="53"/>
      <c r="AL76" s="41"/>
      <c r="AM76" s="41"/>
      <c r="AN76" s="41"/>
      <c r="AO76" s="41"/>
    </row>
    <row r="77" spans="9:41" s="30" customFormat="1">
      <c r="I77" s="69"/>
      <c r="K77" s="44"/>
      <c r="S77" s="41"/>
      <c r="T77" s="53"/>
      <c r="V77" s="53"/>
      <c r="W77" s="53"/>
      <c r="X77" s="53"/>
      <c r="AA77" s="58"/>
      <c r="AB77" s="58"/>
      <c r="AC77" s="41"/>
      <c r="AD77" s="41"/>
      <c r="AE77" s="41"/>
      <c r="AF77" s="41"/>
      <c r="AG77" s="41"/>
      <c r="AH77" s="53"/>
      <c r="AI77" s="53"/>
      <c r="AJ77" s="53"/>
      <c r="AK77" s="53"/>
      <c r="AL77" s="41"/>
      <c r="AM77" s="41"/>
      <c r="AN77" s="41"/>
      <c r="AO77" s="41"/>
    </row>
    <row r="78" spans="9:41" s="30" customFormat="1">
      <c r="I78" s="69"/>
      <c r="K78" s="44"/>
      <c r="S78" s="41"/>
      <c r="T78" s="53"/>
      <c r="V78" s="53"/>
      <c r="W78" s="53"/>
      <c r="X78" s="53"/>
      <c r="AA78" s="58"/>
      <c r="AB78" s="58"/>
      <c r="AC78" s="41"/>
      <c r="AD78" s="41"/>
      <c r="AE78" s="41"/>
      <c r="AF78" s="41"/>
      <c r="AG78" s="41"/>
      <c r="AH78" s="53"/>
      <c r="AI78" s="53"/>
      <c r="AJ78" s="53"/>
      <c r="AK78" s="53"/>
      <c r="AL78" s="41"/>
      <c r="AM78" s="41"/>
      <c r="AN78" s="41"/>
      <c r="AO78" s="41"/>
    </row>
    <row r="79" spans="9:41" s="30" customFormat="1">
      <c r="I79" s="69"/>
      <c r="K79" s="44"/>
      <c r="S79" s="41"/>
      <c r="T79" s="53"/>
      <c r="V79" s="53"/>
      <c r="W79" s="53"/>
      <c r="X79" s="53"/>
      <c r="AA79" s="58"/>
      <c r="AB79" s="58"/>
      <c r="AC79" s="41"/>
      <c r="AD79" s="41"/>
      <c r="AE79" s="41"/>
      <c r="AF79" s="41"/>
      <c r="AG79" s="41"/>
      <c r="AH79" s="53"/>
      <c r="AI79" s="53"/>
      <c r="AJ79" s="53"/>
      <c r="AK79" s="53"/>
      <c r="AL79" s="41"/>
      <c r="AM79" s="41"/>
      <c r="AN79" s="41"/>
      <c r="AO79" s="41"/>
    </row>
    <row r="80" spans="9:41" s="30" customFormat="1">
      <c r="I80" s="69"/>
      <c r="K80" s="44"/>
      <c r="S80" s="41"/>
      <c r="T80" s="53"/>
      <c r="V80" s="53"/>
      <c r="W80" s="53"/>
      <c r="X80" s="53"/>
      <c r="AA80" s="58"/>
      <c r="AB80" s="58"/>
      <c r="AC80" s="41"/>
      <c r="AD80" s="41"/>
      <c r="AE80" s="41"/>
      <c r="AF80" s="41"/>
      <c r="AG80" s="41"/>
      <c r="AH80" s="53"/>
      <c r="AI80" s="53"/>
      <c r="AJ80" s="53"/>
      <c r="AK80" s="53"/>
      <c r="AL80" s="41"/>
      <c r="AM80" s="41"/>
      <c r="AN80" s="41"/>
      <c r="AO80" s="41"/>
    </row>
    <row r="81" spans="9:41" s="30" customFormat="1">
      <c r="I81" s="69"/>
      <c r="K81" s="44"/>
      <c r="S81" s="41"/>
      <c r="T81" s="53"/>
      <c r="V81" s="53"/>
      <c r="W81" s="53"/>
      <c r="X81" s="53"/>
      <c r="AA81" s="58"/>
      <c r="AB81" s="58"/>
      <c r="AC81" s="41"/>
      <c r="AD81" s="41"/>
      <c r="AE81" s="41"/>
      <c r="AF81" s="41"/>
      <c r="AG81" s="41"/>
      <c r="AH81" s="53"/>
      <c r="AI81" s="53"/>
      <c r="AJ81" s="53"/>
      <c r="AK81" s="53"/>
      <c r="AL81" s="41"/>
      <c r="AM81" s="41"/>
      <c r="AN81" s="41"/>
      <c r="AO81" s="41"/>
    </row>
    <row r="82" spans="9:41" s="30" customFormat="1">
      <c r="I82" s="69"/>
      <c r="K82" s="44"/>
      <c r="S82" s="41"/>
      <c r="T82" s="53"/>
      <c r="V82" s="53"/>
      <c r="W82" s="53"/>
      <c r="X82" s="53"/>
      <c r="AA82" s="58"/>
      <c r="AB82" s="58"/>
      <c r="AC82" s="41"/>
      <c r="AD82" s="41"/>
      <c r="AE82" s="41"/>
      <c r="AF82" s="41"/>
      <c r="AG82" s="41"/>
      <c r="AH82" s="53"/>
      <c r="AI82" s="53"/>
      <c r="AJ82" s="53"/>
      <c r="AK82" s="53"/>
      <c r="AL82" s="41"/>
      <c r="AM82" s="41"/>
      <c r="AN82" s="41"/>
      <c r="AO82" s="41"/>
    </row>
    <row r="83" spans="9:41" s="30" customFormat="1">
      <c r="I83" s="69"/>
      <c r="K83" s="44"/>
      <c r="S83" s="41"/>
      <c r="T83" s="53"/>
      <c r="V83" s="53"/>
      <c r="W83" s="53"/>
      <c r="X83" s="53"/>
      <c r="AA83" s="58"/>
      <c r="AB83" s="58"/>
      <c r="AC83" s="41"/>
      <c r="AD83" s="41"/>
      <c r="AE83" s="41"/>
      <c r="AF83" s="41"/>
      <c r="AG83" s="41"/>
      <c r="AH83" s="53"/>
      <c r="AI83" s="53"/>
      <c r="AJ83" s="53"/>
      <c r="AK83" s="53"/>
      <c r="AL83" s="41"/>
      <c r="AM83" s="41"/>
      <c r="AN83" s="41"/>
      <c r="AO83" s="41"/>
    </row>
    <row r="84" spans="9:41" s="30" customFormat="1">
      <c r="I84" s="69"/>
      <c r="K84" s="44"/>
      <c r="S84" s="41"/>
      <c r="T84" s="53"/>
      <c r="V84" s="53"/>
      <c r="W84" s="53"/>
      <c r="X84" s="53"/>
      <c r="AA84" s="58"/>
      <c r="AB84" s="58"/>
      <c r="AC84" s="41"/>
      <c r="AD84" s="41"/>
      <c r="AE84" s="41"/>
      <c r="AF84" s="41"/>
      <c r="AG84" s="41"/>
      <c r="AH84" s="53"/>
      <c r="AI84" s="53"/>
      <c r="AJ84" s="53"/>
      <c r="AK84" s="53"/>
      <c r="AL84" s="41"/>
      <c r="AM84" s="41"/>
      <c r="AN84" s="41"/>
      <c r="AO84" s="41"/>
    </row>
    <row r="85" spans="9:41" s="30" customFormat="1">
      <c r="I85" s="69"/>
      <c r="K85" s="44"/>
      <c r="S85" s="41"/>
      <c r="T85" s="53"/>
      <c r="V85" s="53"/>
      <c r="W85" s="53"/>
      <c r="X85" s="53"/>
      <c r="AA85" s="58"/>
      <c r="AB85" s="58"/>
      <c r="AC85" s="41"/>
      <c r="AD85" s="41"/>
      <c r="AE85" s="41"/>
      <c r="AF85" s="41"/>
      <c r="AG85" s="41"/>
      <c r="AH85" s="53"/>
      <c r="AI85" s="53"/>
      <c r="AJ85" s="53"/>
      <c r="AK85" s="53"/>
      <c r="AL85" s="41"/>
      <c r="AM85" s="41"/>
      <c r="AN85" s="41"/>
      <c r="AO85" s="41"/>
    </row>
    <row r="86" spans="9:41" s="30" customFormat="1">
      <c r="I86" s="69"/>
      <c r="K86" s="44"/>
      <c r="S86" s="41"/>
      <c r="T86" s="53"/>
      <c r="V86" s="53"/>
      <c r="W86" s="53"/>
      <c r="X86" s="53"/>
      <c r="AA86" s="58"/>
      <c r="AB86" s="58"/>
      <c r="AC86" s="41"/>
      <c r="AD86" s="41"/>
      <c r="AE86" s="41"/>
      <c r="AF86" s="41"/>
      <c r="AG86" s="41"/>
      <c r="AH86" s="53"/>
      <c r="AI86" s="53"/>
      <c r="AJ86" s="53"/>
      <c r="AK86" s="53"/>
      <c r="AL86" s="41"/>
      <c r="AM86" s="41"/>
      <c r="AN86" s="41"/>
      <c r="AO86" s="41"/>
    </row>
    <row r="87" spans="9:41" s="30" customFormat="1">
      <c r="I87" s="69"/>
      <c r="K87" s="44"/>
      <c r="S87" s="41"/>
      <c r="T87" s="53"/>
      <c r="V87" s="53"/>
      <c r="W87" s="53"/>
      <c r="X87" s="53"/>
      <c r="AA87" s="58"/>
      <c r="AB87" s="58"/>
      <c r="AC87" s="41"/>
      <c r="AD87" s="41"/>
      <c r="AE87" s="41"/>
      <c r="AF87" s="41"/>
      <c r="AG87" s="41"/>
      <c r="AH87" s="53"/>
      <c r="AI87" s="53"/>
      <c r="AJ87" s="53"/>
      <c r="AK87" s="53"/>
      <c r="AL87" s="41"/>
      <c r="AM87" s="41"/>
      <c r="AN87" s="41"/>
      <c r="AO87" s="41"/>
    </row>
    <row r="88" spans="9:41" s="30" customFormat="1">
      <c r="I88" s="69"/>
      <c r="K88" s="44"/>
      <c r="S88" s="41"/>
      <c r="T88" s="53"/>
      <c r="V88" s="53"/>
      <c r="W88" s="53"/>
      <c r="X88" s="53"/>
      <c r="AA88" s="58"/>
      <c r="AB88" s="58"/>
      <c r="AC88" s="41"/>
      <c r="AD88" s="41"/>
      <c r="AE88" s="41"/>
      <c r="AF88" s="41"/>
      <c r="AG88" s="41"/>
      <c r="AH88" s="53"/>
      <c r="AI88" s="53"/>
      <c r="AJ88" s="53"/>
      <c r="AK88" s="53"/>
      <c r="AL88" s="41"/>
      <c r="AM88" s="41"/>
      <c r="AN88" s="41"/>
      <c r="AO88" s="41"/>
    </row>
    <row r="89" spans="9:41" s="30" customFormat="1">
      <c r="I89" s="69"/>
      <c r="K89" s="44"/>
      <c r="S89" s="41"/>
      <c r="T89" s="53"/>
      <c r="V89" s="53"/>
      <c r="W89" s="53"/>
      <c r="X89" s="53"/>
      <c r="AA89" s="58"/>
      <c r="AB89" s="58"/>
      <c r="AC89" s="41"/>
      <c r="AD89" s="41"/>
      <c r="AE89" s="41"/>
      <c r="AF89" s="41"/>
      <c r="AG89" s="41"/>
      <c r="AH89" s="53"/>
      <c r="AI89" s="53"/>
      <c r="AJ89" s="53"/>
      <c r="AK89" s="53"/>
      <c r="AL89" s="41"/>
      <c r="AM89" s="41"/>
      <c r="AN89" s="41"/>
      <c r="AO89" s="41"/>
    </row>
    <row r="90" spans="9:41" s="30" customFormat="1">
      <c r="I90" s="69"/>
      <c r="K90" s="44"/>
      <c r="S90" s="41"/>
      <c r="T90" s="53"/>
      <c r="V90" s="53"/>
      <c r="W90" s="53"/>
      <c r="X90" s="53"/>
      <c r="AA90" s="58"/>
      <c r="AB90" s="58"/>
      <c r="AC90" s="41"/>
      <c r="AD90" s="41"/>
      <c r="AE90" s="41"/>
      <c r="AF90" s="41"/>
      <c r="AG90" s="41"/>
      <c r="AH90" s="53"/>
      <c r="AI90" s="53"/>
      <c r="AJ90" s="53"/>
      <c r="AK90" s="53"/>
      <c r="AL90" s="41"/>
      <c r="AM90" s="41"/>
      <c r="AN90" s="41"/>
      <c r="AO90" s="41"/>
    </row>
    <row r="91" spans="9:41" s="30" customFormat="1">
      <c r="I91" s="69"/>
      <c r="K91" s="44"/>
      <c r="S91" s="41"/>
      <c r="T91" s="53"/>
      <c r="V91" s="53"/>
      <c r="W91" s="53"/>
      <c r="X91" s="53"/>
      <c r="AA91" s="58"/>
      <c r="AB91" s="58"/>
      <c r="AC91" s="41"/>
      <c r="AD91" s="41"/>
      <c r="AE91" s="41"/>
      <c r="AF91" s="41"/>
      <c r="AG91" s="41"/>
      <c r="AH91" s="53"/>
      <c r="AI91" s="53"/>
      <c r="AJ91" s="53"/>
      <c r="AK91" s="53"/>
      <c r="AL91" s="41"/>
      <c r="AM91" s="41"/>
      <c r="AN91" s="41"/>
      <c r="AO91" s="41"/>
    </row>
    <row r="92" spans="9:41" s="30" customFormat="1">
      <c r="I92" s="69"/>
      <c r="K92" s="44"/>
      <c r="S92" s="41"/>
      <c r="T92" s="53"/>
      <c r="V92" s="53"/>
      <c r="W92" s="53"/>
      <c r="X92" s="53"/>
      <c r="AA92" s="58"/>
      <c r="AB92" s="58"/>
      <c r="AC92" s="41"/>
      <c r="AD92" s="41"/>
      <c r="AE92" s="41"/>
      <c r="AF92" s="41"/>
      <c r="AG92" s="41"/>
      <c r="AH92" s="53"/>
      <c r="AI92" s="53"/>
      <c r="AJ92" s="53"/>
      <c r="AK92" s="53"/>
      <c r="AL92" s="41"/>
      <c r="AM92" s="41"/>
      <c r="AN92" s="41"/>
      <c r="AO92" s="41"/>
    </row>
    <row r="93" spans="9:41" s="30" customFormat="1">
      <c r="I93" s="69"/>
      <c r="K93" s="44"/>
      <c r="S93" s="41"/>
      <c r="T93" s="53"/>
      <c r="V93" s="53"/>
      <c r="W93" s="53"/>
      <c r="X93" s="53"/>
      <c r="AA93" s="58"/>
      <c r="AB93" s="58"/>
      <c r="AC93" s="41"/>
      <c r="AD93" s="41"/>
      <c r="AE93" s="41"/>
      <c r="AF93" s="41"/>
      <c r="AG93" s="41"/>
      <c r="AH93" s="53"/>
      <c r="AI93" s="53"/>
      <c r="AJ93" s="53"/>
      <c r="AK93" s="53"/>
      <c r="AL93" s="41"/>
      <c r="AM93" s="41"/>
      <c r="AN93" s="41"/>
      <c r="AO93" s="41"/>
    </row>
    <row r="94" spans="9:41" s="30" customFormat="1">
      <c r="I94" s="69"/>
      <c r="K94" s="44"/>
      <c r="S94" s="41"/>
      <c r="T94" s="53"/>
      <c r="V94" s="53"/>
      <c r="W94" s="53"/>
      <c r="X94" s="53"/>
      <c r="AA94" s="58"/>
      <c r="AB94" s="58"/>
      <c r="AC94" s="41"/>
      <c r="AD94" s="41"/>
      <c r="AE94" s="41"/>
      <c r="AF94" s="41"/>
      <c r="AG94" s="41"/>
      <c r="AH94" s="53"/>
      <c r="AI94" s="53"/>
      <c r="AJ94" s="53"/>
      <c r="AK94" s="53"/>
      <c r="AL94" s="41"/>
      <c r="AM94" s="41"/>
      <c r="AN94" s="41"/>
      <c r="AO94" s="41"/>
    </row>
    <row r="95" spans="9:41" s="30" customFormat="1">
      <c r="I95" s="69"/>
      <c r="K95" s="44"/>
      <c r="S95" s="41"/>
      <c r="T95" s="53"/>
      <c r="V95" s="53"/>
      <c r="W95" s="53"/>
      <c r="X95" s="53"/>
      <c r="AA95" s="58"/>
      <c r="AB95" s="58"/>
      <c r="AC95" s="41"/>
      <c r="AD95" s="41"/>
      <c r="AE95" s="41"/>
      <c r="AF95" s="41"/>
      <c r="AG95" s="41"/>
      <c r="AH95" s="53"/>
      <c r="AI95" s="53"/>
      <c r="AJ95" s="53"/>
      <c r="AK95" s="53"/>
      <c r="AL95" s="41"/>
      <c r="AM95" s="41"/>
      <c r="AN95" s="41"/>
      <c r="AO95" s="41"/>
    </row>
    <row r="96" spans="9:41" s="30" customFormat="1">
      <c r="I96" s="69"/>
      <c r="K96" s="44"/>
      <c r="S96" s="41"/>
      <c r="T96" s="53"/>
      <c r="V96" s="53"/>
      <c r="W96" s="53"/>
      <c r="X96" s="53"/>
      <c r="AA96" s="58"/>
      <c r="AB96" s="58"/>
      <c r="AC96" s="41"/>
      <c r="AD96" s="41"/>
      <c r="AE96" s="41"/>
      <c r="AF96" s="41"/>
      <c r="AG96" s="41"/>
      <c r="AH96" s="53"/>
      <c r="AI96" s="53"/>
      <c r="AJ96" s="53"/>
      <c r="AK96" s="53"/>
      <c r="AL96" s="41"/>
      <c r="AM96" s="41"/>
      <c r="AN96" s="41"/>
      <c r="AO96" s="41"/>
    </row>
    <row r="97" spans="9:41" s="30" customFormat="1">
      <c r="I97" s="69"/>
      <c r="K97" s="44"/>
      <c r="S97" s="41"/>
      <c r="T97" s="53"/>
      <c r="V97" s="53"/>
      <c r="W97" s="53"/>
      <c r="X97" s="53"/>
      <c r="AA97" s="58"/>
      <c r="AB97" s="58"/>
      <c r="AC97" s="41"/>
      <c r="AD97" s="41"/>
      <c r="AE97" s="41"/>
      <c r="AF97" s="41"/>
      <c r="AG97" s="41"/>
      <c r="AH97" s="53"/>
      <c r="AI97" s="53"/>
      <c r="AJ97" s="53"/>
      <c r="AK97" s="53"/>
      <c r="AL97" s="41"/>
      <c r="AM97" s="41"/>
      <c r="AN97" s="41"/>
      <c r="AO97" s="41"/>
    </row>
    <row r="98" spans="9:41" s="30" customFormat="1">
      <c r="I98" s="69"/>
      <c r="K98" s="44"/>
      <c r="S98" s="41"/>
      <c r="T98" s="53"/>
      <c r="V98" s="53"/>
      <c r="W98" s="53"/>
      <c r="X98" s="53"/>
      <c r="AA98" s="58"/>
      <c r="AB98" s="58"/>
      <c r="AC98" s="41"/>
      <c r="AD98" s="41"/>
      <c r="AE98" s="41"/>
      <c r="AF98" s="41"/>
      <c r="AG98" s="41"/>
      <c r="AH98" s="53"/>
      <c r="AI98" s="53"/>
      <c r="AJ98" s="53"/>
      <c r="AK98" s="53"/>
      <c r="AL98" s="41"/>
      <c r="AM98" s="41"/>
      <c r="AN98" s="41"/>
      <c r="AO98" s="41"/>
    </row>
    <row r="99" spans="9:41" s="30" customFormat="1">
      <c r="I99" s="69"/>
      <c r="K99" s="44"/>
      <c r="S99" s="41"/>
      <c r="T99" s="53"/>
      <c r="V99" s="53"/>
      <c r="W99" s="53"/>
      <c r="X99" s="53"/>
      <c r="AA99" s="58"/>
      <c r="AB99" s="58"/>
      <c r="AC99" s="41"/>
      <c r="AD99" s="41"/>
      <c r="AE99" s="41"/>
      <c r="AF99" s="41"/>
      <c r="AG99" s="41"/>
      <c r="AH99" s="53"/>
      <c r="AI99" s="53"/>
      <c r="AJ99" s="53"/>
      <c r="AK99" s="53"/>
      <c r="AL99" s="41"/>
      <c r="AM99" s="41"/>
      <c r="AN99" s="41"/>
      <c r="AO99" s="41"/>
    </row>
    <row r="100" spans="9:41" s="30" customFormat="1">
      <c r="I100" s="69"/>
      <c r="K100" s="44"/>
      <c r="S100" s="41"/>
      <c r="T100" s="53"/>
      <c r="V100" s="53"/>
      <c r="W100" s="53"/>
      <c r="X100" s="53"/>
      <c r="AA100" s="58"/>
      <c r="AB100" s="58"/>
      <c r="AC100" s="41"/>
      <c r="AD100" s="41"/>
      <c r="AE100" s="41"/>
      <c r="AF100" s="41"/>
      <c r="AG100" s="41"/>
      <c r="AH100" s="53"/>
      <c r="AI100" s="53"/>
      <c r="AJ100" s="53"/>
      <c r="AK100" s="53"/>
      <c r="AL100" s="41"/>
      <c r="AM100" s="41"/>
      <c r="AN100" s="41"/>
      <c r="AO100" s="41"/>
    </row>
    <row r="101" spans="9:41" s="30" customFormat="1">
      <c r="I101" s="69"/>
      <c r="K101" s="44"/>
      <c r="S101" s="41"/>
      <c r="T101" s="53"/>
      <c r="V101" s="53"/>
      <c r="W101" s="53"/>
      <c r="X101" s="53"/>
      <c r="AA101" s="58"/>
      <c r="AB101" s="58"/>
      <c r="AC101" s="41"/>
      <c r="AD101" s="41"/>
      <c r="AE101" s="41"/>
      <c r="AF101" s="41"/>
      <c r="AG101" s="41"/>
      <c r="AH101" s="53"/>
      <c r="AI101" s="53"/>
      <c r="AJ101" s="53"/>
      <c r="AK101" s="53"/>
      <c r="AL101" s="41"/>
      <c r="AM101" s="41"/>
      <c r="AN101" s="41"/>
      <c r="AO101" s="41"/>
    </row>
    <row r="102" spans="9:41" s="30" customFormat="1">
      <c r="I102" s="69"/>
      <c r="K102" s="44"/>
      <c r="S102" s="41"/>
      <c r="T102" s="53"/>
      <c r="V102" s="53"/>
      <c r="W102" s="53"/>
      <c r="X102" s="53"/>
      <c r="AA102" s="58"/>
      <c r="AB102" s="58"/>
      <c r="AC102" s="41"/>
      <c r="AD102" s="41"/>
      <c r="AE102" s="41"/>
      <c r="AF102" s="41"/>
      <c r="AG102" s="41"/>
      <c r="AH102" s="53"/>
      <c r="AI102" s="53"/>
      <c r="AJ102" s="53"/>
      <c r="AK102" s="53"/>
      <c r="AL102" s="41"/>
      <c r="AM102" s="41"/>
      <c r="AN102" s="41"/>
      <c r="AO102" s="41"/>
    </row>
    <row r="103" spans="9:41" s="30" customFormat="1">
      <c r="I103" s="69"/>
      <c r="K103" s="44"/>
      <c r="S103" s="41"/>
      <c r="T103" s="53"/>
      <c r="V103" s="53"/>
      <c r="W103" s="53"/>
      <c r="X103" s="53"/>
      <c r="AA103" s="58"/>
      <c r="AB103" s="58"/>
      <c r="AC103" s="41"/>
      <c r="AD103" s="41"/>
      <c r="AE103" s="41"/>
      <c r="AF103" s="41"/>
      <c r="AG103" s="41"/>
      <c r="AH103" s="53"/>
      <c r="AI103" s="53"/>
      <c r="AJ103" s="53"/>
      <c r="AK103" s="53"/>
      <c r="AL103" s="41"/>
      <c r="AM103" s="41"/>
      <c r="AN103" s="41"/>
      <c r="AO103" s="41"/>
    </row>
    <row r="104" spans="9:41" s="30" customFormat="1">
      <c r="I104" s="69"/>
      <c r="K104" s="44"/>
      <c r="S104" s="41"/>
      <c r="T104" s="53"/>
      <c r="V104" s="53"/>
      <c r="W104" s="53"/>
      <c r="X104" s="53"/>
      <c r="AA104" s="58"/>
      <c r="AB104" s="58"/>
      <c r="AC104" s="41"/>
      <c r="AD104" s="41"/>
      <c r="AE104" s="41"/>
      <c r="AF104" s="41"/>
      <c r="AG104" s="41"/>
      <c r="AH104" s="53"/>
      <c r="AI104" s="53"/>
      <c r="AJ104" s="53"/>
      <c r="AK104" s="53"/>
      <c r="AL104" s="41"/>
      <c r="AM104" s="41"/>
      <c r="AN104" s="41"/>
      <c r="AO104" s="41"/>
    </row>
    <row r="105" spans="9:41" s="30" customFormat="1">
      <c r="I105" s="69"/>
      <c r="K105" s="44"/>
      <c r="S105" s="41"/>
      <c r="T105" s="53"/>
      <c r="V105" s="53"/>
      <c r="W105" s="53"/>
      <c r="X105" s="53"/>
      <c r="AA105" s="58"/>
      <c r="AB105" s="58"/>
      <c r="AC105" s="41"/>
      <c r="AD105" s="41"/>
      <c r="AE105" s="41"/>
      <c r="AF105" s="41"/>
      <c r="AG105" s="41"/>
      <c r="AH105" s="53"/>
      <c r="AI105" s="53"/>
      <c r="AJ105" s="53"/>
      <c r="AK105" s="53"/>
      <c r="AL105" s="41"/>
      <c r="AM105" s="41"/>
      <c r="AN105" s="41"/>
      <c r="AO105" s="41"/>
    </row>
    <row r="106" spans="9:41" s="30" customFormat="1">
      <c r="I106" s="69"/>
      <c r="K106" s="44"/>
      <c r="S106" s="41"/>
      <c r="T106" s="53"/>
      <c r="V106" s="53"/>
      <c r="W106" s="53"/>
      <c r="X106" s="53"/>
      <c r="AA106" s="58"/>
      <c r="AB106" s="58"/>
      <c r="AC106" s="41"/>
      <c r="AD106" s="41"/>
      <c r="AE106" s="41"/>
      <c r="AF106" s="41"/>
      <c r="AG106" s="41"/>
      <c r="AH106" s="53"/>
      <c r="AI106" s="53"/>
      <c r="AJ106" s="53"/>
      <c r="AK106" s="53"/>
      <c r="AL106" s="41"/>
      <c r="AM106" s="41"/>
      <c r="AN106" s="41"/>
      <c r="AO106" s="41"/>
    </row>
    <row r="107" spans="9:41" s="30" customFormat="1">
      <c r="I107" s="69"/>
      <c r="K107" s="44"/>
      <c r="S107" s="41"/>
      <c r="T107" s="53"/>
      <c r="V107" s="53"/>
      <c r="W107" s="53"/>
      <c r="X107" s="53"/>
      <c r="AA107" s="58"/>
      <c r="AB107" s="58"/>
      <c r="AC107" s="41"/>
      <c r="AD107" s="41"/>
      <c r="AE107" s="41"/>
      <c r="AF107" s="41"/>
      <c r="AG107" s="41"/>
      <c r="AH107" s="53"/>
      <c r="AI107" s="53"/>
      <c r="AJ107" s="53"/>
      <c r="AK107" s="53"/>
      <c r="AL107" s="41"/>
      <c r="AM107" s="41"/>
      <c r="AN107" s="41"/>
      <c r="AO107" s="41"/>
    </row>
    <row r="108" spans="9:41" s="30" customFormat="1">
      <c r="I108" s="69"/>
      <c r="K108" s="44"/>
      <c r="S108" s="41"/>
      <c r="T108" s="53"/>
      <c r="V108" s="53"/>
      <c r="W108" s="53"/>
      <c r="X108" s="53"/>
      <c r="AA108" s="58"/>
      <c r="AB108" s="58"/>
      <c r="AC108" s="41"/>
      <c r="AD108" s="41"/>
      <c r="AE108" s="41"/>
      <c r="AF108" s="41"/>
      <c r="AG108" s="41"/>
      <c r="AH108" s="53"/>
      <c r="AI108" s="53"/>
      <c r="AJ108" s="53"/>
      <c r="AK108" s="53"/>
      <c r="AL108" s="41"/>
      <c r="AM108" s="41"/>
      <c r="AN108" s="41"/>
      <c r="AO108" s="41"/>
    </row>
    <row r="109" spans="9:41" s="30" customFormat="1">
      <c r="I109" s="69"/>
      <c r="K109" s="44"/>
      <c r="S109" s="41"/>
      <c r="T109" s="53"/>
      <c r="V109" s="53"/>
      <c r="W109" s="53"/>
      <c r="X109" s="53"/>
      <c r="AA109" s="58"/>
      <c r="AB109" s="58"/>
      <c r="AC109" s="41"/>
      <c r="AD109" s="41"/>
      <c r="AE109" s="41"/>
      <c r="AF109" s="41"/>
      <c r="AG109" s="41"/>
      <c r="AH109" s="53"/>
      <c r="AI109" s="53"/>
      <c r="AJ109" s="53"/>
      <c r="AK109" s="53"/>
      <c r="AL109" s="41"/>
      <c r="AM109" s="41"/>
      <c r="AN109" s="41"/>
      <c r="AO109" s="41"/>
    </row>
    <row r="110" spans="9:41" s="30" customFormat="1">
      <c r="I110" s="69"/>
      <c r="K110" s="44"/>
      <c r="S110" s="41"/>
      <c r="T110" s="53"/>
      <c r="V110" s="53"/>
      <c r="W110" s="53"/>
      <c r="X110" s="53"/>
      <c r="AA110" s="58"/>
      <c r="AB110" s="58"/>
      <c r="AC110" s="41"/>
      <c r="AD110" s="41"/>
      <c r="AE110" s="41"/>
      <c r="AF110" s="41"/>
      <c r="AG110" s="41"/>
      <c r="AH110" s="53"/>
      <c r="AI110" s="53"/>
      <c r="AJ110" s="53"/>
      <c r="AK110" s="53"/>
      <c r="AL110" s="41"/>
      <c r="AM110" s="41"/>
      <c r="AN110" s="41"/>
      <c r="AO110" s="41"/>
    </row>
    <row r="111" spans="9:41" s="30" customFormat="1">
      <c r="I111" s="69"/>
      <c r="K111" s="44"/>
      <c r="S111" s="41"/>
      <c r="T111" s="53"/>
      <c r="V111" s="53"/>
      <c r="W111" s="53"/>
      <c r="X111" s="53"/>
      <c r="AA111" s="58"/>
      <c r="AB111" s="58"/>
      <c r="AC111" s="41"/>
      <c r="AD111" s="41"/>
      <c r="AE111" s="41"/>
      <c r="AF111" s="41"/>
      <c r="AG111" s="41"/>
      <c r="AH111" s="53"/>
      <c r="AI111" s="53"/>
      <c r="AJ111" s="53"/>
      <c r="AK111" s="53"/>
      <c r="AL111" s="41"/>
      <c r="AM111" s="41"/>
      <c r="AN111" s="41"/>
      <c r="AO111" s="41"/>
    </row>
    <row r="112" spans="9:41" s="30" customFormat="1">
      <c r="I112" s="69"/>
      <c r="K112" s="44"/>
      <c r="S112" s="41"/>
      <c r="T112" s="53"/>
      <c r="V112" s="53"/>
      <c r="W112" s="53"/>
      <c r="X112" s="53"/>
      <c r="AA112" s="58"/>
      <c r="AB112" s="58"/>
      <c r="AC112" s="41"/>
      <c r="AD112" s="41"/>
      <c r="AE112" s="41"/>
      <c r="AF112" s="41"/>
      <c r="AG112" s="41"/>
      <c r="AH112" s="53"/>
      <c r="AI112" s="53"/>
      <c r="AJ112" s="53"/>
      <c r="AK112" s="53"/>
      <c r="AL112" s="41"/>
      <c r="AM112" s="41"/>
      <c r="AN112" s="41"/>
      <c r="AO112" s="41"/>
    </row>
    <row r="113" spans="9:41" s="30" customFormat="1">
      <c r="I113" s="69"/>
      <c r="K113" s="44"/>
      <c r="S113" s="41"/>
      <c r="T113" s="53"/>
      <c r="V113" s="53"/>
      <c r="W113" s="53"/>
      <c r="X113" s="53"/>
      <c r="AA113" s="58"/>
      <c r="AB113" s="58"/>
      <c r="AC113" s="41"/>
      <c r="AD113" s="41"/>
      <c r="AE113" s="41"/>
      <c r="AF113" s="41"/>
      <c r="AG113" s="41"/>
      <c r="AH113" s="53"/>
      <c r="AI113" s="53"/>
      <c r="AJ113" s="53"/>
      <c r="AK113" s="53"/>
      <c r="AL113" s="41"/>
      <c r="AM113" s="41"/>
      <c r="AN113" s="41"/>
      <c r="AO113" s="41"/>
    </row>
    <row r="114" spans="9:41" s="30" customFormat="1">
      <c r="I114" s="69"/>
      <c r="K114" s="44"/>
      <c r="S114" s="41"/>
      <c r="T114" s="53"/>
      <c r="V114" s="53"/>
      <c r="W114" s="53"/>
      <c r="X114" s="53"/>
      <c r="AA114" s="58"/>
      <c r="AB114" s="58"/>
      <c r="AC114" s="41"/>
      <c r="AD114" s="41"/>
      <c r="AE114" s="41"/>
      <c r="AF114" s="41"/>
      <c r="AG114" s="41"/>
      <c r="AH114" s="53"/>
      <c r="AI114" s="53"/>
      <c r="AJ114" s="53"/>
      <c r="AK114" s="53"/>
      <c r="AL114" s="41"/>
      <c r="AM114" s="41"/>
      <c r="AN114" s="41"/>
      <c r="AO114" s="41"/>
    </row>
    <row r="115" spans="9:41" s="30" customFormat="1">
      <c r="I115" s="69"/>
      <c r="K115" s="44"/>
      <c r="S115" s="41"/>
      <c r="T115" s="53"/>
      <c r="V115" s="53"/>
      <c r="W115" s="53"/>
      <c r="X115" s="53"/>
      <c r="AA115" s="58"/>
      <c r="AB115" s="58"/>
      <c r="AC115" s="41"/>
      <c r="AD115" s="41"/>
      <c r="AE115" s="41"/>
      <c r="AF115" s="41"/>
      <c r="AG115" s="41"/>
      <c r="AH115" s="53"/>
      <c r="AI115" s="53"/>
      <c r="AJ115" s="53"/>
      <c r="AK115" s="53"/>
      <c r="AL115" s="41"/>
      <c r="AM115" s="41"/>
      <c r="AN115" s="41"/>
      <c r="AO115" s="41"/>
    </row>
    <row r="116" spans="9:41" s="30" customFormat="1">
      <c r="I116" s="69"/>
      <c r="K116" s="44"/>
      <c r="S116" s="41"/>
      <c r="T116" s="53"/>
      <c r="V116" s="53"/>
      <c r="W116" s="53"/>
      <c r="X116" s="53"/>
      <c r="AA116" s="58"/>
      <c r="AB116" s="58"/>
      <c r="AC116" s="41"/>
      <c r="AD116" s="41"/>
      <c r="AE116" s="41"/>
      <c r="AF116" s="41"/>
      <c r="AG116" s="41"/>
      <c r="AH116" s="53"/>
      <c r="AI116" s="53"/>
      <c r="AJ116" s="53"/>
      <c r="AK116" s="53"/>
      <c r="AL116" s="41"/>
      <c r="AM116" s="41"/>
      <c r="AN116" s="41"/>
      <c r="AO116" s="41"/>
    </row>
    <row r="117" spans="9:41" s="30" customFormat="1">
      <c r="I117" s="69"/>
      <c r="K117" s="44"/>
      <c r="S117" s="41"/>
      <c r="T117" s="53"/>
      <c r="V117" s="53"/>
      <c r="W117" s="53"/>
      <c r="X117" s="53"/>
      <c r="AA117" s="58"/>
      <c r="AB117" s="58"/>
      <c r="AC117" s="41"/>
      <c r="AD117" s="41"/>
      <c r="AE117" s="41"/>
      <c r="AF117" s="41"/>
      <c r="AG117" s="41"/>
      <c r="AH117" s="53"/>
      <c r="AI117" s="53"/>
      <c r="AJ117" s="53"/>
      <c r="AK117" s="53"/>
      <c r="AL117" s="41"/>
      <c r="AM117" s="41"/>
      <c r="AN117" s="41"/>
      <c r="AO117" s="41"/>
    </row>
    <row r="118" spans="9:41" s="30" customFormat="1">
      <c r="I118" s="69"/>
      <c r="K118" s="44"/>
      <c r="S118" s="41"/>
      <c r="T118" s="53"/>
      <c r="V118" s="53"/>
      <c r="W118" s="53"/>
      <c r="X118" s="53"/>
      <c r="AA118" s="58"/>
      <c r="AB118" s="58"/>
      <c r="AC118" s="41"/>
      <c r="AD118" s="41"/>
      <c r="AE118" s="41"/>
      <c r="AF118" s="41"/>
      <c r="AG118" s="41"/>
      <c r="AH118" s="53"/>
      <c r="AI118" s="53"/>
      <c r="AJ118" s="53"/>
      <c r="AK118" s="53"/>
      <c r="AL118" s="41"/>
      <c r="AM118" s="41"/>
      <c r="AN118" s="41"/>
      <c r="AO118" s="41"/>
    </row>
    <row r="119" spans="9:41" s="30" customFormat="1">
      <c r="I119" s="69"/>
      <c r="K119" s="44"/>
      <c r="S119" s="41"/>
      <c r="T119" s="53"/>
      <c r="V119" s="53"/>
      <c r="W119" s="53"/>
      <c r="X119" s="53"/>
      <c r="AA119" s="58"/>
      <c r="AB119" s="58"/>
      <c r="AC119" s="41"/>
      <c r="AD119" s="41"/>
      <c r="AE119" s="41"/>
      <c r="AF119" s="41"/>
      <c r="AG119" s="41"/>
      <c r="AH119" s="53"/>
      <c r="AI119" s="53"/>
      <c r="AJ119" s="53"/>
      <c r="AK119" s="53"/>
      <c r="AL119" s="41"/>
      <c r="AM119" s="41"/>
      <c r="AN119" s="41"/>
      <c r="AO119" s="41"/>
    </row>
    <row r="120" spans="9:41" s="30" customFormat="1">
      <c r="I120" s="69"/>
      <c r="K120" s="44"/>
      <c r="S120" s="41"/>
      <c r="T120" s="53"/>
      <c r="V120" s="53"/>
      <c r="W120" s="53"/>
      <c r="X120" s="53"/>
      <c r="AA120" s="58"/>
      <c r="AB120" s="58"/>
      <c r="AC120" s="41"/>
      <c r="AD120" s="41"/>
      <c r="AE120" s="41"/>
      <c r="AF120" s="41"/>
      <c r="AG120" s="41"/>
      <c r="AH120" s="53"/>
      <c r="AI120" s="53"/>
      <c r="AJ120" s="53"/>
      <c r="AK120" s="53"/>
      <c r="AL120" s="41"/>
      <c r="AM120" s="41"/>
      <c r="AN120" s="41"/>
      <c r="AO120" s="41"/>
    </row>
    <row r="121" spans="9:41" s="30" customFormat="1">
      <c r="I121" s="69"/>
      <c r="K121" s="44"/>
      <c r="S121" s="41"/>
      <c r="T121" s="53"/>
      <c r="V121" s="53"/>
      <c r="W121" s="53"/>
      <c r="X121" s="53"/>
      <c r="AA121" s="58"/>
      <c r="AB121" s="58"/>
      <c r="AC121" s="41"/>
      <c r="AD121" s="41"/>
      <c r="AE121" s="41"/>
      <c r="AF121" s="41"/>
      <c r="AG121" s="41"/>
      <c r="AH121" s="53"/>
      <c r="AI121" s="53"/>
      <c r="AJ121" s="53"/>
      <c r="AK121" s="53"/>
      <c r="AL121" s="41"/>
      <c r="AM121" s="41"/>
      <c r="AN121" s="41"/>
      <c r="AO121" s="41"/>
    </row>
    <row r="122" spans="9:41" s="30" customFormat="1">
      <c r="I122" s="69"/>
      <c r="K122" s="44"/>
      <c r="S122" s="41"/>
      <c r="T122" s="53"/>
      <c r="V122" s="53"/>
      <c r="W122" s="53"/>
      <c r="X122" s="53"/>
      <c r="AA122" s="58"/>
      <c r="AB122" s="58"/>
      <c r="AC122" s="41"/>
      <c r="AD122" s="41"/>
      <c r="AE122" s="41"/>
      <c r="AF122" s="41"/>
      <c r="AG122" s="41"/>
      <c r="AH122" s="53"/>
      <c r="AI122" s="53"/>
      <c r="AJ122" s="53"/>
      <c r="AK122" s="53"/>
      <c r="AL122" s="41"/>
      <c r="AM122" s="41"/>
      <c r="AN122" s="41"/>
      <c r="AO122" s="41"/>
    </row>
    <row r="123" spans="9:41" s="30" customFormat="1">
      <c r="I123" s="69"/>
      <c r="K123" s="44"/>
      <c r="S123" s="41"/>
      <c r="T123" s="53"/>
      <c r="V123" s="53"/>
      <c r="W123" s="53"/>
      <c r="X123" s="53"/>
      <c r="AA123" s="58"/>
      <c r="AB123" s="58"/>
      <c r="AC123" s="41"/>
      <c r="AD123" s="41"/>
      <c r="AE123" s="41"/>
      <c r="AF123" s="41"/>
      <c r="AG123" s="41"/>
      <c r="AH123" s="53"/>
      <c r="AI123" s="53"/>
      <c r="AJ123" s="53"/>
      <c r="AK123" s="53"/>
      <c r="AL123" s="41"/>
      <c r="AM123" s="41"/>
      <c r="AN123" s="41"/>
      <c r="AO123" s="41"/>
    </row>
    <row r="124" spans="9:41" s="30" customFormat="1">
      <c r="I124" s="69"/>
      <c r="K124" s="44"/>
      <c r="S124" s="41"/>
      <c r="T124" s="53"/>
      <c r="V124" s="53"/>
      <c r="W124" s="53"/>
      <c r="X124" s="53"/>
      <c r="AA124" s="58"/>
      <c r="AB124" s="58"/>
      <c r="AC124" s="41"/>
      <c r="AD124" s="41"/>
      <c r="AE124" s="41"/>
      <c r="AF124" s="41"/>
      <c r="AG124" s="41"/>
      <c r="AH124" s="53"/>
      <c r="AI124" s="53"/>
      <c r="AJ124" s="53"/>
      <c r="AK124" s="53"/>
      <c r="AL124" s="41"/>
      <c r="AM124" s="41"/>
      <c r="AN124" s="41"/>
      <c r="AO124" s="41"/>
    </row>
    <row r="125" spans="9:41" s="30" customFormat="1">
      <c r="I125" s="69"/>
      <c r="K125" s="44"/>
      <c r="S125" s="41"/>
      <c r="T125" s="53"/>
      <c r="V125" s="53"/>
      <c r="W125" s="53"/>
      <c r="X125" s="53"/>
      <c r="AA125" s="58"/>
      <c r="AB125" s="58"/>
      <c r="AC125" s="41"/>
      <c r="AD125" s="41"/>
      <c r="AE125" s="41"/>
      <c r="AF125" s="41"/>
      <c r="AG125" s="41"/>
      <c r="AH125" s="53"/>
      <c r="AI125" s="53"/>
      <c r="AJ125" s="53"/>
      <c r="AK125" s="53"/>
      <c r="AL125" s="41"/>
      <c r="AM125" s="41"/>
      <c r="AN125" s="41"/>
      <c r="AO125" s="41"/>
    </row>
    <row r="126" spans="9:41" s="30" customFormat="1">
      <c r="I126" s="69"/>
      <c r="K126" s="44"/>
      <c r="S126" s="41"/>
      <c r="T126" s="53"/>
      <c r="V126" s="53"/>
      <c r="W126" s="53"/>
      <c r="X126" s="53"/>
      <c r="AA126" s="58"/>
      <c r="AB126" s="58"/>
      <c r="AC126" s="41"/>
      <c r="AD126" s="41"/>
      <c r="AE126" s="41"/>
      <c r="AF126" s="41"/>
      <c r="AG126" s="41"/>
      <c r="AH126" s="53"/>
      <c r="AI126" s="53"/>
      <c r="AJ126" s="53"/>
      <c r="AK126" s="53"/>
      <c r="AL126" s="41"/>
      <c r="AM126" s="41"/>
      <c r="AN126" s="41"/>
      <c r="AO126" s="41"/>
    </row>
    <row r="127" spans="9:41" s="30" customFormat="1">
      <c r="I127" s="69"/>
      <c r="K127" s="44"/>
      <c r="S127" s="41"/>
      <c r="T127" s="53"/>
      <c r="V127" s="53"/>
      <c r="W127" s="53"/>
      <c r="X127" s="53"/>
      <c r="AA127" s="58"/>
      <c r="AB127" s="58"/>
      <c r="AC127" s="41"/>
      <c r="AD127" s="41"/>
      <c r="AE127" s="41"/>
      <c r="AF127" s="41"/>
      <c r="AG127" s="41"/>
      <c r="AH127" s="53"/>
      <c r="AI127" s="53"/>
      <c r="AJ127" s="53"/>
      <c r="AK127" s="53"/>
      <c r="AL127" s="41"/>
      <c r="AM127" s="41"/>
      <c r="AN127" s="41"/>
      <c r="AO127" s="41"/>
    </row>
    <row r="128" spans="9:41" s="30" customFormat="1">
      <c r="I128" s="69"/>
      <c r="K128" s="44"/>
      <c r="S128" s="41"/>
      <c r="T128" s="53"/>
      <c r="V128" s="53"/>
      <c r="W128" s="53"/>
      <c r="X128" s="53"/>
      <c r="AA128" s="58"/>
      <c r="AB128" s="58"/>
      <c r="AC128" s="41"/>
      <c r="AD128" s="41"/>
      <c r="AE128" s="41"/>
      <c r="AF128" s="41"/>
      <c r="AG128" s="41"/>
      <c r="AH128" s="53"/>
      <c r="AI128" s="53"/>
      <c r="AJ128" s="53"/>
      <c r="AK128" s="53"/>
      <c r="AL128" s="41"/>
      <c r="AM128" s="41"/>
      <c r="AN128" s="41"/>
      <c r="AO128" s="41"/>
    </row>
    <row r="129" spans="9:41" s="30" customFormat="1">
      <c r="I129" s="69"/>
      <c r="K129" s="44"/>
      <c r="S129" s="41"/>
      <c r="T129" s="53"/>
      <c r="V129" s="53"/>
      <c r="W129" s="53"/>
      <c r="X129" s="53"/>
      <c r="AA129" s="58"/>
      <c r="AB129" s="58"/>
      <c r="AC129" s="41"/>
      <c r="AD129" s="41"/>
      <c r="AE129" s="41"/>
      <c r="AF129" s="41"/>
      <c r="AG129" s="41"/>
      <c r="AH129" s="53"/>
      <c r="AI129" s="53"/>
      <c r="AJ129" s="53"/>
      <c r="AK129" s="53"/>
      <c r="AL129" s="41"/>
      <c r="AM129" s="41"/>
      <c r="AN129" s="41"/>
      <c r="AO129" s="41"/>
    </row>
    <row r="130" spans="9:41" s="30" customFormat="1">
      <c r="I130" s="69"/>
      <c r="K130" s="44"/>
      <c r="S130" s="41"/>
      <c r="T130" s="53"/>
      <c r="V130" s="53"/>
      <c r="W130" s="53"/>
      <c r="X130" s="53"/>
      <c r="AA130" s="58"/>
      <c r="AB130" s="58"/>
      <c r="AC130" s="41"/>
      <c r="AD130" s="41"/>
      <c r="AE130" s="41"/>
      <c r="AF130" s="41"/>
      <c r="AG130" s="41"/>
      <c r="AH130" s="53"/>
      <c r="AI130" s="53"/>
      <c r="AJ130" s="53"/>
      <c r="AK130" s="53"/>
      <c r="AL130" s="41"/>
      <c r="AM130" s="41"/>
      <c r="AN130" s="41"/>
      <c r="AO130" s="41"/>
    </row>
    <row r="131" spans="9:41" s="30" customFormat="1">
      <c r="I131" s="69"/>
      <c r="K131" s="44"/>
      <c r="S131" s="41"/>
      <c r="T131" s="53"/>
      <c r="V131" s="53"/>
      <c r="W131" s="53"/>
      <c r="X131" s="53"/>
      <c r="AA131" s="58"/>
      <c r="AB131" s="58"/>
      <c r="AC131" s="41"/>
      <c r="AD131" s="41"/>
      <c r="AE131" s="41"/>
      <c r="AF131" s="41"/>
      <c r="AG131" s="41"/>
      <c r="AH131" s="53"/>
      <c r="AI131" s="53"/>
      <c r="AJ131" s="53"/>
      <c r="AK131" s="53"/>
      <c r="AL131" s="41"/>
      <c r="AM131" s="41"/>
      <c r="AN131" s="41"/>
      <c r="AO131" s="41"/>
    </row>
    <row r="132" spans="9:41" s="30" customFormat="1">
      <c r="I132" s="69"/>
      <c r="K132" s="44"/>
      <c r="S132" s="41"/>
      <c r="T132" s="53"/>
      <c r="V132" s="53"/>
      <c r="W132" s="53"/>
      <c r="X132" s="53"/>
      <c r="AA132" s="58"/>
      <c r="AB132" s="58"/>
      <c r="AC132" s="41"/>
      <c r="AD132" s="41"/>
      <c r="AE132" s="41"/>
      <c r="AF132" s="41"/>
      <c r="AG132" s="41"/>
      <c r="AH132" s="53"/>
      <c r="AI132" s="53"/>
      <c r="AJ132" s="53"/>
      <c r="AK132" s="53"/>
      <c r="AL132" s="41"/>
      <c r="AM132" s="41"/>
      <c r="AN132" s="41"/>
      <c r="AO132" s="41"/>
    </row>
    <row r="133" spans="9:41" s="30" customFormat="1">
      <c r="I133" s="69"/>
      <c r="K133" s="44"/>
      <c r="S133" s="41"/>
      <c r="T133" s="53"/>
      <c r="V133" s="53"/>
      <c r="W133" s="53"/>
      <c r="X133" s="53"/>
      <c r="AA133" s="58"/>
      <c r="AB133" s="58"/>
      <c r="AC133" s="41"/>
      <c r="AD133" s="41"/>
      <c r="AE133" s="41"/>
      <c r="AF133" s="41"/>
      <c r="AG133" s="41"/>
      <c r="AH133" s="53"/>
      <c r="AI133" s="53"/>
      <c r="AJ133" s="53"/>
      <c r="AK133" s="53"/>
      <c r="AL133" s="41"/>
      <c r="AM133" s="41"/>
      <c r="AN133" s="41"/>
      <c r="AO133" s="41"/>
    </row>
    <row r="134" spans="9:41" s="30" customFormat="1">
      <c r="I134" s="69"/>
      <c r="K134" s="44"/>
      <c r="S134" s="41"/>
      <c r="T134" s="53"/>
      <c r="V134" s="53"/>
      <c r="W134" s="53"/>
      <c r="X134" s="53"/>
      <c r="AA134" s="58"/>
      <c r="AB134" s="58"/>
      <c r="AC134" s="41"/>
      <c r="AD134" s="41"/>
      <c r="AE134" s="41"/>
      <c r="AF134" s="41"/>
      <c r="AG134" s="41"/>
      <c r="AH134" s="53"/>
      <c r="AI134" s="53"/>
      <c r="AJ134" s="53"/>
      <c r="AK134" s="53"/>
      <c r="AL134" s="41"/>
      <c r="AM134" s="41"/>
      <c r="AN134" s="41"/>
      <c r="AO134" s="41"/>
    </row>
    <row r="135" spans="9:41" s="30" customFormat="1">
      <c r="I135" s="69"/>
      <c r="K135" s="44"/>
      <c r="S135" s="41"/>
      <c r="T135" s="53"/>
      <c r="V135" s="53"/>
      <c r="W135" s="53"/>
      <c r="X135" s="53"/>
      <c r="AA135" s="58"/>
      <c r="AB135" s="58"/>
      <c r="AC135" s="41"/>
      <c r="AD135" s="41"/>
      <c r="AE135" s="41"/>
      <c r="AF135" s="41"/>
      <c r="AG135" s="41"/>
      <c r="AH135" s="53"/>
      <c r="AI135" s="53"/>
      <c r="AJ135" s="53"/>
      <c r="AK135" s="53"/>
      <c r="AL135" s="41"/>
      <c r="AM135" s="41"/>
      <c r="AN135" s="41"/>
      <c r="AO135" s="41"/>
    </row>
    <row r="136" spans="9:41" s="30" customFormat="1">
      <c r="I136" s="69"/>
      <c r="K136" s="44"/>
      <c r="S136" s="41"/>
      <c r="T136" s="53"/>
      <c r="V136" s="53"/>
      <c r="W136" s="53"/>
      <c r="X136" s="53"/>
      <c r="AA136" s="58"/>
      <c r="AB136" s="58"/>
      <c r="AC136" s="41"/>
      <c r="AD136" s="41"/>
      <c r="AE136" s="41"/>
      <c r="AF136" s="41"/>
      <c r="AG136" s="41"/>
      <c r="AH136" s="53"/>
      <c r="AI136" s="53"/>
      <c r="AJ136" s="53"/>
      <c r="AK136" s="53"/>
      <c r="AL136" s="41"/>
      <c r="AM136" s="41"/>
      <c r="AN136" s="41"/>
      <c r="AO136" s="41"/>
    </row>
    <row r="137" spans="9:41" s="30" customFormat="1">
      <c r="I137" s="69"/>
      <c r="K137" s="44"/>
      <c r="S137" s="41"/>
      <c r="T137" s="53"/>
      <c r="V137" s="53"/>
      <c r="W137" s="53"/>
      <c r="X137" s="53"/>
      <c r="AA137" s="58"/>
      <c r="AB137" s="58"/>
      <c r="AC137" s="41"/>
      <c r="AD137" s="41"/>
      <c r="AE137" s="41"/>
      <c r="AF137" s="41"/>
      <c r="AG137" s="41"/>
      <c r="AH137" s="53"/>
      <c r="AI137" s="53"/>
      <c r="AJ137" s="53"/>
      <c r="AK137" s="53"/>
      <c r="AL137" s="41"/>
      <c r="AM137" s="41"/>
      <c r="AN137" s="41"/>
      <c r="AO137" s="41"/>
    </row>
    <row r="138" spans="9:41" s="30" customFormat="1">
      <c r="I138" s="69"/>
      <c r="K138" s="44"/>
      <c r="S138" s="41"/>
      <c r="T138" s="53"/>
      <c r="V138" s="53"/>
      <c r="W138" s="53"/>
      <c r="X138" s="53"/>
      <c r="AA138" s="58"/>
      <c r="AB138" s="58"/>
      <c r="AC138" s="41"/>
      <c r="AD138" s="41"/>
      <c r="AE138" s="41"/>
      <c r="AF138" s="41"/>
      <c r="AG138" s="41"/>
      <c r="AH138" s="53"/>
      <c r="AI138" s="53"/>
      <c r="AJ138" s="53"/>
      <c r="AK138" s="53"/>
      <c r="AL138" s="41"/>
      <c r="AM138" s="41"/>
      <c r="AN138" s="41"/>
      <c r="AO138" s="41"/>
    </row>
    <row r="139" spans="9:41" s="30" customFormat="1">
      <c r="I139" s="69"/>
      <c r="K139" s="44"/>
      <c r="S139" s="41"/>
      <c r="T139" s="53"/>
      <c r="V139" s="53"/>
      <c r="W139" s="53"/>
      <c r="X139" s="53"/>
      <c r="AA139" s="58"/>
      <c r="AB139" s="58"/>
      <c r="AC139" s="41"/>
      <c r="AD139" s="41"/>
      <c r="AE139" s="41"/>
      <c r="AF139" s="41"/>
      <c r="AG139" s="41"/>
      <c r="AH139" s="53"/>
      <c r="AI139" s="53"/>
      <c r="AJ139" s="53"/>
      <c r="AK139" s="53"/>
      <c r="AL139" s="41"/>
      <c r="AM139" s="41"/>
      <c r="AN139" s="41"/>
      <c r="AO139" s="41"/>
    </row>
    <row r="140" spans="9:41" s="30" customFormat="1">
      <c r="I140" s="69"/>
      <c r="K140" s="44"/>
      <c r="S140" s="41"/>
      <c r="T140" s="53"/>
      <c r="V140" s="53"/>
      <c r="W140" s="53"/>
      <c r="X140" s="53"/>
      <c r="AA140" s="58"/>
      <c r="AB140" s="58"/>
      <c r="AC140" s="41"/>
      <c r="AD140" s="41"/>
      <c r="AE140" s="41"/>
      <c r="AF140" s="41"/>
      <c r="AG140" s="41"/>
      <c r="AH140" s="53"/>
      <c r="AI140" s="53"/>
      <c r="AJ140" s="53"/>
      <c r="AK140" s="53"/>
      <c r="AL140" s="41"/>
      <c r="AM140" s="41"/>
      <c r="AN140" s="41"/>
      <c r="AO140" s="41"/>
    </row>
    <row r="141" spans="9:41" s="30" customFormat="1">
      <c r="I141" s="69"/>
      <c r="K141" s="44"/>
      <c r="S141" s="41"/>
      <c r="T141" s="53"/>
      <c r="V141" s="53"/>
      <c r="W141" s="53"/>
      <c r="X141" s="53"/>
      <c r="AA141" s="58"/>
      <c r="AB141" s="58"/>
      <c r="AC141" s="41"/>
      <c r="AD141" s="41"/>
      <c r="AE141" s="41"/>
      <c r="AF141" s="41"/>
      <c r="AG141" s="41"/>
      <c r="AH141" s="53"/>
      <c r="AI141" s="53"/>
      <c r="AJ141" s="53"/>
      <c r="AK141" s="53"/>
      <c r="AL141" s="41"/>
      <c r="AM141" s="41"/>
      <c r="AN141" s="41"/>
      <c r="AO141" s="41"/>
    </row>
    <row r="142" spans="9:41" s="30" customFormat="1">
      <c r="I142" s="69"/>
      <c r="K142" s="44"/>
      <c r="S142" s="41"/>
      <c r="T142" s="53"/>
      <c r="V142" s="53"/>
      <c r="W142" s="53"/>
      <c r="X142" s="53"/>
      <c r="AA142" s="58"/>
      <c r="AB142" s="58"/>
      <c r="AC142" s="41"/>
      <c r="AD142" s="41"/>
      <c r="AE142" s="41"/>
      <c r="AF142" s="41"/>
      <c r="AG142" s="41"/>
      <c r="AH142" s="53"/>
      <c r="AI142" s="53"/>
      <c r="AJ142" s="53"/>
      <c r="AK142" s="53"/>
      <c r="AL142" s="41"/>
      <c r="AM142" s="41"/>
      <c r="AN142" s="41"/>
      <c r="AO142" s="41"/>
    </row>
    <row r="143" spans="9:41" s="30" customFormat="1">
      <c r="I143" s="69"/>
      <c r="K143" s="44"/>
      <c r="S143" s="41"/>
      <c r="T143" s="53"/>
      <c r="V143" s="53"/>
      <c r="W143" s="53"/>
      <c r="X143" s="53"/>
      <c r="AA143" s="58"/>
      <c r="AB143" s="58"/>
      <c r="AC143" s="41"/>
      <c r="AD143" s="41"/>
      <c r="AE143" s="41"/>
      <c r="AF143" s="41"/>
      <c r="AG143" s="41"/>
      <c r="AH143" s="53"/>
      <c r="AI143" s="53"/>
      <c r="AJ143" s="53"/>
      <c r="AK143" s="53"/>
      <c r="AL143" s="41"/>
      <c r="AM143" s="41"/>
      <c r="AN143" s="41"/>
      <c r="AO143" s="41"/>
    </row>
    <row r="144" spans="9:41" s="30" customFormat="1">
      <c r="I144" s="69"/>
      <c r="K144" s="44"/>
      <c r="S144" s="41"/>
      <c r="T144" s="53"/>
      <c r="V144" s="53"/>
      <c r="W144" s="53"/>
      <c r="X144" s="53"/>
      <c r="AA144" s="58"/>
      <c r="AB144" s="58"/>
      <c r="AC144" s="41"/>
      <c r="AD144" s="41"/>
      <c r="AE144" s="41"/>
      <c r="AF144" s="41"/>
      <c r="AG144" s="41"/>
      <c r="AH144" s="53"/>
      <c r="AI144" s="53"/>
      <c r="AJ144" s="53"/>
      <c r="AK144" s="53"/>
      <c r="AL144" s="41"/>
      <c r="AM144" s="41"/>
      <c r="AN144" s="41"/>
      <c r="AO144" s="41"/>
    </row>
    <row r="145" spans="9:41" s="30" customFormat="1">
      <c r="I145" s="69"/>
      <c r="K145" s="44"/>
      <c r="S145" s="41"/>
      <c r="T145" s="53"/>
      <c r="V145" s="53"/>
      <c r="W145" s="53"/>
      <c r="X145" s="53"/>
      <c r="AA145" s="58"/>
      <c r="AB145" s="58"/>
      <c r="AC145" s="41"/>
      <c r="AD145" s="41"/>
      <c r="AE145" s="41"/>
      <c r="AF145" s="41"/>
      <c r="AG145" s="41"/>
      <c r="AH145" s="53"/>
      <c r="AI145" s="53"/>
      <c r="AJ145" s="53"/>
      <c r="AK145" s="53"/>
      <c r="AL145" s="41"/>
      <c r="AM145" s="41"/>
      <c r="AN145" s="41"/>
      <c r="AO145" s="41"/>
    </row>
    <row r="146" spans="9:41" s="30" customFormat="1">
      <c r="I146" s="69"/>
      <c r="K146" s="44"/>
      <c r="S146" s="41"/>
      <c r="T146" s="53"/>
      <c r="V146" s="53"/>
      <c r="W146" s="53"/>
      <c r="X146" s="53"/>
      <c r="AA146" s="58"/>
      <c r="AB146" s="58"/>
      <c r="AC146" s="41"/>
      <c r="AD146" s="41"/>
      <c r="AE146" s="41"/>
      <c r="AF146" s="41"/>
      <c r="AG146" s="41"/>
      <c r="AH146" s="53"/>
      <c r="AI146" s="53"/>
      <c r="AJ146" s="53"/>
      <c r="AK146" s="53"/>
      <c r="AL146" s="41"/>
      <c r="AM146" s="41"/>
      <c r="AN146" s="41"/>
      <c r="AO146" s="41"/>
    </row>
    <row r="147" spans="9:41" s="30" customFormat="1">
      <c r="I147" s="69"/>
      <c r="K147" s="44"/>
      <c r="S147" s="41"/>
      <c r="T147" s="53"/>
      <c r="V147" s="53"/>
      <c r="W147" s="53"/>
      <c r="X147" s="53"/>
      <c r="AA147" s="58"/>
      <c r="AB147" s="58"/>
      <c r="AC147" s="41"/>
      <c r="AD147" s="41"/>
      <c r="AE147" s="41"/>
      <c r="AF147" s="41"/>
      <c r="AG147" s="41"/>
      <c r="AH147" s="53"/>
      <c r="AI147" s="53"/>
      <c r="AJ147" s="53"/>
      <c r="AK147" s="53"/>
      <c r="AL147" s="41"/>
      <c r="AM147" s="41"/>
      <c r="AN147" s="41"/>
      <c r="AO147" s="41"/>
    </row>
    <row r="148" spans="9:41" s="30" customFormat="1">
      <c r="I148" s="69"/>
      <c r="K148" s="44"/>
      <c r="S148" s="41"/>
      <c r="T148" s="53"/>
      <c r="V148" s="53"/>
      <c r="W148" s="53"/>
      <c r="X148" s="53"/>
      <c r="AA148" s="58"/>
      <c r="AB148" s="58"/>
      <c r="AC148" s="41"/>
      <c r="AD148" s="41"/>
      <c r="AE148" s="41"/>
      <c r="AF148" s="41"/>
      <c r="AG148" s="41"/>
      <c r="AH148" s="53"/>
      <c r="AI148" s="53"/>
      <c r="AJ148" s="53"/>
      <c r="AK148" s="53"/>
      <c r="AL148" s="41"/>
      <c r="AM148" s="41"/>
      <c r="AN148" s="41"/>
      <c r="AO148" s="41"/>
    </row>
    <row r="149" spans="9:41" s="30" customFormat="1">
      <c r="I149" s="69"/>
      <c r="K149" s="44"/>
      <c r="S149" s="41"/>
      <c r="T149" s="53"/>
      <c r="V149" s="53"/>
      <c r="W149" s="53"/>
      <c r="X149" s="53"/>
      <c r="AA149" s="58"/>
      <c r="AB149" s="58"/>
      <c r="AC149" s="41"/>
      <c r="AD149" s="41"/>
      <c r="AE149" s="41"/>
      <c r="AF149" s="41"/>
      <c r="AG149" s="41"/>
      <c r="AH149" s="53"/>
      <c r="AI149" s="53"/>
      <c r="AJ149" s="53"/>
      <c r="AK149" s="53"/>
      <c r="AL149" s="41"/>
      <c r="AM149" s="41"/>
      <c r="AN149" s="41"/>
      <c r="AO149" s="41"/>
    </row>
    <row r="150" spans="9:41" s="30" customFormat="1">
      <c r="I150" s="69"/>
      <c r="K150" s="44"/>
      <c r="S150" s="41"/>
      <c r="T150" s="53"/>
      <c r="V150" s="53"/>
      <c r="W150" s="53"/>
      <c r="X150" s="53"/>
      <c r="AA150" s="58"/>
      <c r="AB150" s="58"/>
      <c r="AC150" s="41"/>
      <c r="AD150" s="41"/>
      <c r="AE150" s="41"/>
      <c r="AF150" s="41"/>
      <c r="AG150" s="41"/>
      <c r="AH150" s="53"/>
      <c r="AI150" s="53"/>
      <c r="AJ150" s="53"/>
      <c r="AK150" s="53"/>
      <c r="AL150" s="41"/>
      <c r="AM150" s="41"/>
      <c r="AN150" s="41"/>
      <c r="AO150" s="41"/>
    </row>
    <row r="151" spans="9:41" s="30" customFormat="1">
      <c r="I151" s="69"/>
      <c r="K151" s="44"/>
      <c r="S151" s="41"/>
      <c r="T151" s="53"/>
      <c r="V151" s="53"/>
      <c r="W151" s="53"/>
      <c r="X151" s="53"/>
      <c r="AA151" s="58"/>
      <c r="AB151" s="58"/>
      <c r="AC151" s="41"/>
      <c r="AD151" s="41"/>
      <c r="AE151" s="41"/>
      <c r="AF151" s="41"/>
      <c r="AG151" s="41"/>
      <c r="AH151" s="53"/>
      <c r="AI151" s="53"/>
      <c r="AJ151" s="53"/>
      <c r="AK151" s="53"/>
      <c r="AL151" s="41"/>
      <c r="AM151" s="41"/>
      <c r="AN151" s="41"/>
      <c r="AO151" s="41"/>
    </row>
    <row r="152" spans="9:41" s="30" customFormat="1">
      <c r="I152" s="69"/>
      <c r="K152" s="44"/>
      <c r="S152" s="41"/>
      <c r="T152" s="53"/>
      <c r="V152" s="53"/>
      <c r="W152" s="53"/>
      <c r="X152" s="53"/>
      <c r="AA152" s="58"/>
      <c r="AB152" s="58"/>
      <c r="AC152" s="41"/>
      <c r="AD152" s="41"/>
      <c r="AE152" s="41"/>
      <c r="AF152" s="41"/>
      <c r="AG152" s="41"/>
      <c r="AH152" s="53"/>
      <c r="AI152" s="53"/>
      <c r="AJ152" s="53"/>
      <c r="AK152" s="53"/>
      <c r="AL152" s="41"/>
      <c r="AM152" s="41"/>
      <c r="AN152" s="41"/>
      <c r="AO152" s="41"/>
    </row>
    <row r="153" spans="9:41" s="30" customFormat="1">
      <c r="I153" s="69"/>
      <c r="K153" s="44"/>
      <c r="S153" s="41"/>
      <c r="T153" s="53"/>
      <c r="V153" s="53"/>
      <c r="W153" s="53"/>
      <c r="X153" s="53"/>
      <c r="AA153" s="58"/>
      <c r="AB153" s="58"/>
      <c r="AC153" s="41"/>
      <c r="AD153" s="41"/>
      <c r="AE153" s="41"/>
      <c r="AF153" s="41"/>
      <c r="AG153" s="41"/>
      <c r="AH153" s="53"/>
      <c r="AI153" s="53"/>
      <c r="AJ153" s="53"/>
      <c r="AK153" s="53"/>
      <c r="AL153" s="41"/>
      <c r="AM153" s="41"/>
      <c r="AN153" s="41"/>
      <c r="AO153" s="41"/>
    </row>
    <row r="154" spans="9:41" s="30" customFormat="1">
      <c r="I154" s="69"/>
      <c r="K154" s="44"/>
      <c r="S154" s="41"/>
      <c r="T154" s="53"/>
      <c r="V154" s="53"/>
      <c r="W154" s="53"/>
      <c r="X154" s="53"/>
      <c r="AA154" s="58"/>
      <c r="AB154" s="58"/>
      <c r="AC154" s="41"/>
      <c r="AD154" s="41"/>
      <c r="AE154" s="41"/>
      <c r="AF154" s="41"/>
      <c r="AG154" s="41"/>
      <c r="AH154" s="53"/>
      <c r="AI154" s="53"/>
      <c r="AJ154" s="53"/>
      <c r="AK154" s="53"/>
      <c r="AL154" s="41"/>
      <c r="AM154" s="41"/>
      <c r="AN154" s="41"/>
      <c r="AO154" s="41"/>
    </row>
    <row r="155" spans="9:41" s="30" customFormat="1">
      <c r="I155" s="69"/>
      <c r="K155" s="44"/>
      <c r="S155" s="41"/>
      <c r="T155" s="53"/>
      <c r="V155" s="53"/>
      <c r="W155" s="53"/>
      <c r="X155" s="53"/>
      <c r="AA155" s="58"/>
      <c r="AB155" s="58"/>
      <c r="AC155" s="41"/>
      <c r="AD155" s="41"/>
      <c r="AE155" s="41"/>
      <c r="AF155" s="41"/>
      <c r="AG155" s="41"/>
      <c r="AH155" s="53"/>
      <c r="AI155" s="53"/>
      <c r="AJ155" s="53"/>
      <c r="AK155" s="53"/>
      <c r="AL155" s="41"/>
      <c r="AM155" s="41"/>
      <c r="AN155" s="41"/>
      <c r="AO155" s="41"/>
    </row>
    <row r="156" spans="9:41" s="30" customFormat="1">
      <c r="I156" s="69"/>
      <c r="K156" s="44"/>
      <c r="S156" s="41"/>
      <c r="T156" s="53"/>
      <c r="V156" s="53"/>
      <c r="W156" s="53"/>
      <c r="X156" s="53"/>
      <c r="AA156" s="58"/>
      <c r="AB156" s="58"/>
      <c r="AC156" s="41"/>
      <c r="AD156" s="41"/>
      <c r="AE156" s="41"/>
      <c r="AF156" s="41"/>
      <c r="AG156" s="41"/>
      <c r="AH156" s="53"/>
      <c r="AI156" s="53"/>
      <c r="AJ156" s="53"/>
      <c r="AK156" s="53"/>
      <c r="AL156" s="41"/>
      <c r="AM156" s="41"/>
      <c r="AN156" s="41"/>
      <c r="AO156" s="41"/>
    </row>
    <row r="157" spans="9:41" s="30" customFormat="1">
      <c r="I157" s="69"/>
      <c r="K157" s="44"/>
      <c r="S157" s="41"/>
      <c r="T157" s="53"/>
      <c r="V157" s="53"/>
      <c r="W157" s="53"/>
      <c r="X157" s="53"/>
      <c r="AA157" s="58"/>
      <c r="AB157" s="58"/>
      <c r="AC157" s="41"/>
      <c r="AD157" s="41"/>
      <c r="AE157" s="41"/>
      <c r="AF157" s="41"/>
      <c r="AG157" s="41"/>
      <c r="AH157" s="53"/>
      <c r="AI157" s="53"/>
      <c r="AJ157" s="53"/>
      <c r="AK157" s="53"/>
      <c r="AL157" s="41"/>
      <c r="AM157" s="41"/>
      <c r="AN157" s="41"/>
      <c r="AO157" s="41"/>
    </row>
    <row r="158" spans="9:41" s="30" customFormat="1">
      <c r="I158" s="69"/>
      <c r="K158" s="44"/>
      <c r="S158" s="41"/>
      <c r="T158" s="53"/>
      <c r="V158" s="53"/>
      <c r="W158" s="53"/>
      <c r="X158" s="53"/>
      <c r="AA158" s="58"/>
      <c r="AB158" s="58"/>
      <c r="AC158" s="41"/>
      <c r="AD158" s="41"/>
      <c r="AE158" s="41"/>
      <c r="AF158" s="41"/>
      <c r="AG158" s="41"/>
      <c r="AH158" s="53"/>
      <c r="AI158" s="53"/>
      <c r="AJ158" s="53"/>
      <c r="AK158" s="53"/>
      <c r="AL158" s="41"/>
      <c r="AM158" s="41"/>
      <c r="AN158" s="41"/>
      <c r="AO158" s="41"/>
    </row>
    <row r="159" spans="9:41" s="30" customFormat="1">
      <c r="I159" s="69"/>
      <c r="K159" s="44"/>
      <c r="S159" s="41"/>
      <c r="T159" s="53"/>
      <c r="V159" s="53"/>
      <c r="W159" s="53"/>
      <c r="X159" s="53"/>
      <c r="AA159" s="58"/>
      <c r="AB159" s="58"/>
      <c r="AC159" s="41"/>
      <c r="AD159" s="41"/>
      <c r="AE159" s="41"/>
      <c r="AF159" s="41"/>
      <c r="AG159" s="41"/>
      <c r="AH159" s="53"/>
      <c r="AI159" s="53"/>
      <c r="AJ159" s="53"/>
      <c r="AK159" s="53"/>
      <c r="AL159" s="41"/>
      <c r="AM159" s="41"/>
      <c r="AN159" s="41"/>
      <c r="AO159" s="41"/>
    </row>
    <row r="160" spans="9:41" s="30" customFormat="1">
      <c r="I160" s="69"/>
      <c r="K160" s="44"/>
      <c r="S160" s="41"/>
      <c r="T160" s="53"/>
      <c r="V160" s="53"/>
      <c r="W160" s="53"/>
      <c r="X160" s="53"/>
      <c r="AA160" s="58"/>
      <c r="AB160" s="58"/>
      <c r="AC160" s="41"/>
      <c r="AD160" s="41"/>
      <c r="AE160" s="41"/>
      <c r="AF160" s="41"/>
      <c r="AG160" s="41"/>
      <c r="AH160" s="53"/>
      <c r="AI160" s="53"/>
      <c r="AJ160" s="53"/>
      <c r="AK160" s="53"/>
      <c r="AL160" s="41"/>
      <c r="AM160" s="41"/>
      <c r="AN160" s="41"/>
      <c r="AO160" s="41"/>
    </row>
    <row r="161" spans="9:41" s="30" customFormat="1">
      <c r="I161" s="69"/>
      <c r="K161" s="44"/>
      <c r="S161" s="41"/>
      <c r="T161" s="53"/>
      <c r="V161" s="53"/>
      <c r="W161" s="53"/>
      <c r="X161" s="53"/>
      <c r="AA161" s="58"/>
      <c r="AB161" s="58"/>
      <c r="AC161" s="41"/>
      <c r="AD161" s="41"/>
      <c r="AE161" s="41"/>
      <c r="AF161" s="41"/>
      <c r="AG161" s="41"/>
      <c r="AH161" s="53"/>
      <c r="AI161" s="53"/>
      <c r="AJ161" s="53"/>
      <c r="AK161" s="53"/>
      <c r="AL161" s="41"/>
      <c r="AM161" s="41"/>
      <c r="AN161" s="41"/>
      <c r="AO161" s="41"/>
    </row>
    <row r="162" spans="9:41" s="30" customFormat="1">
      <c r="I162" s="69"/>
      <c r="K162" s="44"/>
      <c r="S162" s="41"/>
      <c r="T162" s="53"/>
      <c r="V162" s="53"/>
      <c r="W162" s="53"/>
      <c r="X162" s="53"/>
      <c r="AA162" s="58"/>
      <c r="AB162" s="58"/>
      <c r="AC162" s="41"/>
      <c r="AD162" s="41"/>
      <c r="AE162" s="41"/>
      <c r="AF162" s="41"/>
      <c r="AG162" s="41"/>
      <c r="AH162" s="53"/>
      <c r="AI162" s="53"/>
      <c r="AJ162" s="53"/>
      <c r="AK162" s="53"/>
      <c r="AL162" s="41"/>
      <c r="AM162" s="41"/>
      <c r="AN162" s="41"/>
      <c r="AO162" s="41"/>
    </row>
    <row r="163" spans="9:41" s="30" customFormat="1">
      <c r="I163" s="69"/>
      <c r="K163" s="44"/>
      <c r="S163" s="41"/>
      <c r="T163" s="53"/>
      <c r="V163" s="53"/>
      <c r="W163" s="53"/>
      <c r="X163" s="53"/>
      <c r="AA163" s="58"/>
      <c r="AB163" s="58"/>
      <c r="AC163" s="41"/>
      <c r="AD163" s="41"/>
      <c r="AE163" s="41"/>
      <c r="AF163" s="41"/>
      <c r="AG163" s="41"/>
      <c r="AH163" s="53"/>
      <c r="AI163" s="53"/>
      <c r="AJ163" s="53"/>
      <c r="AK163" s="53"/>
      <c r="AL163" s="41"/>
      <c r="AM163" s="41"/>
      <c r="AN163" s="41"/>
      <c r="AO163" s="41"/>
    </row>
    <row r="164" spans="9:41" s="30" customFormat="1">
      <c r="I164" s="69"/>
      <c r="K164" s="44"/>
      <c r="S164" s="41"/>
      <c r="T164" s="53"/>
      <c r="V164" s="53"/>
      <c r="W164" s="53"/>
      <c r="X164" s="53"/>
      <c r="AA164" s="58"/>
      <c r="AB164" s="58"/>
      <c r="AC164" s="41"/>
      <c r="AD164" s="41"/>
      <c r="AE164" s="41"/>
      <c r="AF164" s="41"/>
      <c r="AG164" s="41"/>
      <c r="AH164" s="53"/>
      <c r="AI164" s="53"/>
      <c r="AJ164" s="53"/>
      <c r="AK164" s="53"/>
      <c r="AL164" s="41"/>
      <c r="AM164" s="41"/>
      <c r="AN164" s="41"/>
      <c r="AO164" s="41"/>
    </row>
    <row r="165" spans="9:41" s="30" customFormat="1">
      <c r="I165" s="69"/>
      <c r="K165" s="44"/>
      <c r="S165" s="41"/>
      <c r="T165" s="53"/>
      <c r="V165" s="53"/>
      <c r="W165" s="53"/>
      <c r="X165" s="53"/>
      <c r="AA165" s="58"/>
      <c r="AB165" s="58"/>
      <c r="AC165" s="41"/>
      <c r="AD165" s="41"/>
      <c r="AE165" s="41"/>
      <c r="AF165" s="41"/>
      <c r="AG165" s="41"/>
      <c r="AH165" s="53"/>
      <c r="AI165" s="53"/>
      <c r="AJ165" s="53"/>
      <c r="AK165" s="53"/>
      <c r="AL165" s="41"/>
      <c r="AM165" s="41"/>
      <c r="AN165" s="41"/>
      <c r="AO165" s="41"/>
    </row>
    <row r="166" spans="9:41" s="30" customFormat="1">
      <c r="I166" s="69"/>
      <c r="K166" s="44"/>
      <c r="S166" s="41"/>
      <c r="T166" s="53"/>
      <c r="V166" s="53"/>
      <c r="W166" s="53"/>
      <c r="X166" s="53"/>
      <c r="AA166" s="58"/>
      <c r="AB166" s="58"/>
      <c r="AC166" s="41"/>
      <c r="AD166" s="41"/>
      <c r="AE166" s="41"/>
      <c r="AF166" s="41"/>
      <c r="AG166" s="41"/>
      <c r="AH166" s="53"/>
      <c r="AI166" s="53"/>
      <c r="AJ166" s="53"/>
      <c r="AK166" s="53"/>
      <c r="AL166" s="41"/>
      <c r="AM166" s="41"/>
      <c r="AN166" s="41"/>
      <c r="AO166" s="41"/>
    </row>
    <row r="167" spans="9:41" s="30" customFormat="1">
      <c r="I167" s="69"/>
      <c r="K167" s="44"/>
      <c r="S167" s="41"/>
      <c r="T167" s="53"/>
      <c r="V167" s="53"/>
      <c r="W167" s="53"/>
      <c r="X167" s="53"/>
      <c r="AA167" s="58"/>
      <c r="AB167" s="58"/>
      <c r="AC167" s="41"/>
      <c r="AD167" s="41"/>
      <c r="AE167" s="41"/>
      <c r="AF167" s="41"/>
      <c r="AG167" s="41"/>
      <c r="AH167" s="53"/>
      <c r="AI167" s="53"/>
      <c r="AJ167" s="53"/>
      <c r="AK167" s="53"/>
      <c r="AL167" s="41"/>
      <c r="AM167" s="41"/>
      <c r="AN167" s="41"/>
      <c r="AO167" s="41"/>
    </row>
    <row r="168" spans="9:41" s="30" customFormat="1">
      <c r="I168" s="69"/>
      <c r="K168" s="44"/>
      <c r="S168" s="41"/>
      <c r="T168" s="53"/>
      <c r="V168" s="53"/>
      <c r="W168" s="53"/>
      <c r="X168" s="53"/>
      <c r="AA168" s="58"/>
      <c r="AB168" s="58"/>
      <c r="AC168" s="41"/>
      <c r="AD168" s="41"/>
      <c r="AE168" s="41"/>
      <c r="AF168" s="41"/>
      <c r="AG168" s="41"/>
      <c r="AH168" s="53"/>
      <c r="AI168" s="53"/>
      <c r="AJ168" s="53"/>
      <c r="AK168" s="53"/>
      <c r="AL168" s="41"/>
      <c r="AM168" s="41"/>
      <c r="AN168" s="41"/>
      <c r="AO168" s="41"/>
    </row>
    <row r="169" spans="9:41" s="30" customFormat="1">
      <c r="I169" s="69"/>
      <c r="K169" s="44"/>
      <c r="S169" s="41"/>
      <c r="T169" s="53"/>
      <c r="V169" s="53"/>
      <c r="W169" s="53"/>
      <c r="X169" s="53"/>
      <c r="AA169" s="58"/>
      <c r="AB169" s="58"/>
      <c r="AC169" s="41"/>
      <c r="AD169" s="41"/>
      <c r="AE169" s="41"/>
      <c r="AF169" s="41"/>
      <c r="AG169" s="41"/>
      <c r="AH169" s="53"/>
      <c r="AI169" s="53"/>
      <c r="AJ169" s="53"/>
      <c r="AK169" s="53"/>
      <c r="AL169" s="41"/>
      <c r="AM169" s="41"/>
      <c r="AN169" s="41"/>
      <c r="AO169" s="41"/>
    </row>
    <row r="170" spans="9:41" s="30" customFormat="1">
      <c r="I170" s="69"/>
      <c r="K170" s="44"/>
      <c r="S170" s="41"/>
      <c r="T170" s="53"/>
      <c r="V170" s="53"/>
      <c r="W170" s="53"/>
      <c r="X170" s="53"/>
      <c r="AA170" s="58"/>
      <c r="AB170" s="58"/>
      <c r="AC170" s="41"/>
      <c r="AD170" s="41"/>
      <c r="AE170" s="41"/>
      <c r="AF170" s="41"/>
      <c r="AG170" s="41"/>
      <c r="AH170" s="53"/>
      <c r="AI170" s="53"/>
      <c r="AJ170" s="53"/>
      <c r="AK170" s="53"/>
      <c r="AL170" s="41"/>
      <c r="AM170" s="41"/>
      <c r="AN170" s="41"/>
      <c r="AO170" s="41"/>
    </row>
    <row r="171" spans="9:41" s="30" customFormat="1">
      <c r="I171" s="69"/>
      <c r="K171" s="44"/>
      <c r="S171" s="41"/>
      <c r="T171" s="53"/>
      <c r="V171" s="53"/>
      <c r="W171" s="53"/>
      <c r="X171" s="53"/>
      <c r="AA171" s="58"/>
      <c r="AB171" s="58"/>
      <c r="AC171" s="41"/>
      <c r="AD171" s="41"/>
      <c r="AE171" s="41"/>
      <c r="AF171" s="41"/>
      <c r="AG171" s="41"/>
      <c r="AH171" s="53"/>
      <c r="AI171" s="53"/>
      <c r="AJ171" s="53"/>
      <c r="AK171" s="53"/>
      <c r="AL171" s="41"/>
      <c r="AM171" s="41"/>
      <c r="AN171" s="41"/>
      <c r="AO171" s="41"/>
    </row>
    <row r="172" spans="9:41" s="30" customFormat="1">
      <c r="I172" s="69"/>
      <c r="K172" s="44"/>
      <c r="S172" s="41"/>
      <c r="T172" s="53"/>
      <c r="V172" s="53"/>
      <c r="W172" s="53"/>
      <c r="X172" s="53"/>
      <c r="AA172" s="58"/>
      <c r="AB172" s="58"/>
      <c r="AC172" s="41"/>
      <c r="AD172" s="41"/>
      <c r="AE172" s="41"/>
      <c r="AF172" s="41"/>
      <c r="AG172" s="41"/>
      <c r="AH172" s="53"/>
      <c r="AI172" s="53"/>
      <c r="AJ172" s="53"/>
      <c r="AK172" s="53"/>
      <c r="AL172" s="41"/>
      <c r="AM172" s="41"/>
      <c r="AN172" s="41"/>
      <c r="AO172" s="41"/>
    </row>
    <row r="173" spans="9:41" s="30" customFormat="1">
      <c r="I173" s="69"/>
      <c r="K173" s="44"/>
      <c r="S173" s="41"/>
      <c r="T173" s="53"/>
      <c r="V173" s="53"/>
      <c r="W173" s="53"/>
      <c r="X173" s="53"/>
      <c r="AA173" s="58"/>
      <c r="AB173" s="58"/>
      <c r="AC173" s="41"/>
      <c r="AD173" s="41"/>
      <c r="AE173" s="41"/>
      <c r="AF173" s="41"/>
      <c r="AG173" s="41"/>
      <c r="AH173" s="53"/>
      <c r="AI173" s="53"/>
      <c r="AJ173" s="53"/>
      <c r="AK173" s="53"/>
      <c r="AL173" s="41"/>
      <c r="AM173" s="41"/>
      <c r="AN173" s="41"/>
      <c r="AO173" s="41"/>
    </row>
    <row r="174" spans="9:41" s="30" customFormat="1">
      <c r="I174" s="69"/>
      <c r="K174" s="44"/>
      <c r="S174" s="41"/>
      <c r="T174" s="53"/>
      <c r="V174" s="53"/>
      <c r="W174" s="53"/>
      <c r="X174" s="53"/>
      <c r="AA174" s="58"/>
      <c r="AB174" s="58"/>
      <c r="AC174" s="41"/>
      <c r="AD174" s="41"/>
      <c r="AE174" s="41"/>
      <c r="AF174" s="41"/>
      <c r="AG174" s="41"/>
      <c r="AH174" s="53"/>
      <c r="AI174" s="53"/>
      <c r="AJ174" s="53"/>
      <c r="AK174" s="53"/>
      <c r="AL174" s="41"/>
      <c r="AM174" s="41"/>
      <c r="AN174" s="41"/>
      <c r="AO174" s="41"/>
    </row>
    <row r="175" spans="9:41" s="30" customFormat="1">
      <c r="I175" s="69"/>
      <c r="K175" s="44"/>
      <c r="S175" s="41"/>
      <c r="T175" s="53"/>
      <c r="V175" s="53"/>
      <c r="W175" s="53"/>
      <c r="X175" s="53"/>
      <c r="AA175" s="58"/>
      <c r="AB175" s="58"/>
      <c r="AC175" s="41"/>
      <c r="AD175" s="41"/>
      <c r="AE175" s="41"/>
      <c r="AF175" s="41"/>
      <c r="AG175" s="41"/>
      <c r="AH175" s="53"/>
      <c r="AI175" s="53"/>
      <c r="AJ175" s="53"/>
      <c r="AK175" s="53"/>
      <c r="AL175" s="41"/>
      <c r="AM175" s="41"/>
      <c r="AN175" s="41"/>
      <c r="AO175" s="41"/>
    </row>
    <row r="176" spans="9:41" s="30" customFormat="1">
      <c r="I176" s="69"/>
      <c r="K176" s="44"/>
      <c r="S176" s="41"/>
      <c r="T176" s="53"/>
      <c r="V176" s="53"/>
      <c r="W176" s="53"/>
      <c r="X176" s="53"/>
      <c r="AA176" s="58"/>
      <c r="AB176" s="58"/>
      <c r="AC176" s="41"/>
      <c r="AD176" s="41"/>
      <c r="AE176" s="41"/>
      <c r="AF176" s="41"/>
      <c r="AG176" s="41"/>
      <c r="AH176" s="53"/>
      <c r="AI176" s="53"/>
      <c r="AJ176" s="53"/>
      <c r="AK176" s="53"/>
      <c r="AL176" s="41"/>
      <c r="AM176" s="41"/>
      <c r="AN176" s="41"/>
      <c r="AO176" s="41"/>
    </row>
    <row r="177" spans="9:41" s="30" customFormat="1">
      <c r="I177" s="69"/>
      <c r="K177" s="44"/>
      <c r="S177" s="41"/>
      <c r="T177" s="53"/>
      <c r="V177" s="53"/>
      <c r="W177" s="53"/>
      <c r="X177" s="53"/>
      <c r="AA177" s="58"/>
      <c r="AB177" s="58"/>
      <c r="AC177" s="41"/>
      <c r="AD177" s="41"/>
      <c r="AE177" s="41"/>
      <c r="AF177" s="41"/>
      <c r="AG177" s="41"/>
      <c r="AH177" s="53"/>
      <c r="AI177" s="53"/>
      <c r="AJ177" s="53"/>
      <c r="AK177" s="53"/>
      <c r="AL177" s="41"/>
      <c r="AM177" s="41"/>
      <c r="AN177" s="41"/>
      <c r="AO177" s="41"/>
    </row>
    <row r="178" spans="9:41" s="30" customFormat="1">
      <c r="I178" s="69"/>
      <c r="K178" s="44"/>
      <c r="S178" s="41"/>
      <c r="T178" s="53"/>
      <c r="V178" s="53"/>
      <c r="W178" s="53"/>
      <c r="X178" s="53"/>
      <c r="AA178" s="58"/>
      <c r="AB178" s="58"/>
      <c r="AC178" s="41"/>
      <c r="AD178" s="41"/>
      <c r="AE178" s="41"/>
      <c r="AF178" s="41"/>
      <c r="AG178" s="41"/>
      <c r="AH178" s="53"/>
      <c r="AI178" s="53"/>
      <c r="AJ178" s="53"/>
      <c r="AK178" s="53"/>
      <c r="AL178" s="41"/>
      <c r="AM178" s="41"/>
      <c r="AN178" s="41"/>
      <c r="AO178" s="41"/>
    </row>
    <row r="179" spans="9:41" s="30" customFormat="1">
      <c r="I179" s="69"/>
      <c r="K179" s="44"/>
      <c r="S179" s="41"/>
      <c r="T179" s="53"/>
      <c r="V179" s="53"/>
      <c r="W179" s="53"/>
      <c r="X179" s="53"/>
      <c r="AA179" s="58"/>
      <c r="AB179" s="58"/>
      <c r="AC179" s="41"/>
      <c r="AD179" s="41"/>
      <c r="AE179" s="41"/>
      <c r="AF179" s="41"/>
      <c r="AG179" s="41"/>
      <c r="AH179" s="53"/>
      <c r="AI179" s="53"/>
      <c r="AJ179" s="53"/>
      <c r="AK179" s="53"/>
      <c r="AL179" s="41"/>
      <c r="AM179" s="41"/>
      <c r="AN179" s="41"/>
      <c r="AO179" s="41"/>
    </row>
    <row r="180" spans="9:41" s="30" customFormat="1">
      <c r="I180" s="69"/>
      <c r="K180" s="44"/>
      <c r="S180" s="41"/>
      <c r="T180" s="53"/>
      <c r="V180" s="53"/>
      <c r="W180" s="53"/>
      <c r="X180" s="53"/>
      <c r="AA180" s="58"/>
      <c r="AB180" s="58"/>
      <c r="AC180" s="41"/>
      <c r="AD180" s="41"/>
      <c r="AE180" s="41"/>
      <c r="AF180" s="41"/>
      <c r="AG180" s="41"/>
      <c r="AH180" s="53"/>
      <c r="AI180" s="53"/>
      <c r="AJ180" s="53"/>
      <c r="AK180" s="53"/>
      <c r="AL180" s="41"/>
      <c r="AM180" s="41"/>
      <c r="AN180" s="41"/>
      <c r="AO180" s="41"/>
    </row>
    <row r="181" spans="9:41" s="30" customFormat="1">
      <c r="I181" s="69"/>
      <c r="K181" s="44"/>
      <c r="S181" s="41"/>
      <c r="T181" s="53"/>
      <c r="V181" s="53"/>
      <c r="W181" s="53"/>
      <c r="X181" s="53"/>
      <c r="AA181" s="58"/>
      <c r="AB181" s="58"/>
      <c r="AC181" s="41"/>
      <c r="AD181" s="41"/>
      <c r="AE181" s="41"/>
      <c r="AF181" s="41"/>
      <c r="AG181" s="41"/>
      <c r="AH181" s="53"/>
      <c r="AI181" s="53"/>
      <c r="AJ181" s="53"/>
      <c r="AK181" s="53"/>
      <c r="AL181" s="41"/>
      <c r="AM181" s="41"/>
      <c r="AN181" s="41"/>
      <c r="AO181" s="41"/>
    </row>
    <row r="182" spans="9:41" s="30" customFormat="1">
      <c r="I182" s="69"/>
      <c r="K182" s="44"/>
      <c r="S182" s="41"/>
      <c r="T182" s="53"/>
      <c r="V182" s="53"/>
      <c r="W182" s="53"/>
      <c r="X182" s="53"/>
      <c r="AA182" s="58"/>
      <c r="AB182" s="58"/>
      <c r="AC182" s="41"/>
      <c r="AD182" s="41"/>
      <c r="AE182" s="41"/>
      <c r="AF182" s="41"/>
      <c r="AG182" s="41"/>
      <c r="AH182" s="53"/>
      <c r="AI182" s="53"/>
      <c r="AJ182" s="53"/>
      <c r="AK182" s="53"/>
      <c r="AL182" s="41"/>
      <c r="AM182" s="41"/>
      <c r="AN182" s="41"/>
      <c r="AO182" s="41"/>
    </row>
    <row r="183" spans="9:41" s="30" customFormat="1">
      <c r="I183" s="69"/>
      <c r="K183" s="44"/>
      <c r="S183" s="41"/>
      <c r="T183" s="53"/>
      <c r="V183" s="53"/>
      <c r="W183" s="53"/>
      <c r="X183" s="53"/>
      <c r="AA183" s="58"/>
      <c r="AB183" s="58"/>
      <c r="AC183" s="41"/>
      <c r="AD183" s="41"/>
      <c r="AE183" s="41"/>
      <c r="AF183" s="41"/>
      <c r="AG183" s="41"/>
      <c r="AH183" s="53"/>
      <c r="AI183" s="53"/>
      <c r="AJ183" s="53"/>
      <c r="AK183" s="53"/>
      <c r="AL183" s="41"/>
      <c r="AM183" s="41"/>
      <c r="AN183" s="41"/>
      <c r="AO183" s="41"/>
    </row>
    <row r="184" spans="9:41" s="30" customFormat="1">
      <c r="I184" s="69"/>
      <c r="K184" s="44"/>
      <c r="S184" s="41"/>
      <c r="T184" s="53"/>
      <c r="V184" s="53"/>
      <c r="W184" s="53"/>
      <c r="X184" s="53"/>
      <c r="AA184" s="58"/>
      <c r="AB184" s="58"/>
      <c r="AC184" s="41"/>
      <c r="AD184" s="41"/>
      <c r="AE184" s="41"/>
      <c r="AF184" s="41"/>
      <c r="AG184" s="41"/>
      <c r="AH184" s="53"/>
      <c r="AI184" s="53"/>
      <c r="AJ184" s="53"/>
      <c r="AK184" s="53"/>
      <c r="AL184" s="41"/>
      <c r="AM184" s="41"/>
      <c r="AN184" s="41"/>
      <c r="AO184" s="41"/>
    </row>
    <row r="185" spans="9:41" s="30" customFormat="1">
      <c r="I185" s="69"/>
      <c r="K185" s="44"/>
      <c r="S185" s="41"/>
      <c r="T185" s="53"/>
      <c r="V185" s="53"/>
      <c r="W185" s="53"/>
      <c r="X185" s="53"/>
      <c r="AA185" s="58"/>
      <c r="AB185" s="58"/>
      <c r="AC185" s="41"/>
      <c r="AD185" s="41"/>
      <c r="AE185" s="41"/>
      <c r="AF185" s="41"/>
      <c r="AG185" s="41"/>
      <c r="AH185" s="53"/>
      <c r="AI185" s="53"/>
      <c r="AJ185" s="53"/>
      <c r="AK185" s="53"/>
      <c r="AL185" s="41"/>
      <c r="AM185" s="41"/>
      <c r="AN185" s="41"/>
      <c r="AO185" s="41"/>
    </row>
    <row r="186" spans="9:41" s="30" customFormat="1">
      <c r="I186" s="69"/>
      <c r="K186" s="44"/>
      <c r="S186" s="41"/>
      <c r="T186" s="53"/>
      <c r="V186" s="53"/>
      <c r="W186" s="53"/>
      <c r="X186" s="53"/>
      <c r="AA186" s="58"/>
      <c r="AB186" s="58"/>
      <c r="AC186" s="41"/>
      <c r="AD186" s="41"/>
      <c r="AE186" s="41"/>
      <c r="AF186" s="41"/>
      <c r="AG186" s="41"/>
      <c r="AH186" s="53"/>
      <c r="AI186" s="53"/>
      <c r="AJ186" s="53"/>
      <c r="AK186" s="53"/>
      <c r="AL186" s="41"/>
      <c r="AM186" s="41"/>
      <c r="AN186" s="41"/>
      <c r="AO186" s="41"/>
    </row>
    <row r="187" spans="9:41" s="30" customFormat="1">
      <c r="I187" s="69"/>
      <c r="K187" s="44"/>
      <c r="S187" s="41"/>
      <c r="T187" s="53"/>
      <c r="V187" s="53"/>
      <c r="W187" s="53"/>
      <c r="X187" s="53"/>
      <c r="AA187" s="58"/>
      <c r="AB187" s="58"/>
      <c r="AC187" s="41"/>
      <c r="AD187" s="41"/>
      <c r="AE187" s="41"/>
      <c r="AF187" s="41"/>
      <c r="AG187" s="41"/>
      <c r="AH187" s="53"/>
      <c r="AI187" s="53"/>
      <c r="AJ187" s="53"/>
      <c r="AK187" s="53"/>
      <c r="AL187" s="41"/>
      <c r="AM187" s="41"/>
      <c r="AN187" s="41"/>
      <c r="AO187" s="41"/>
    </row>
    <row r="188" spans="9:41" s="30" customFormat="1">
      <c r="I188" s="69"/>
      <c r="K188" s="44"/>
      <c r="S188" s="41"/>
      <c r="T188" s="53"/>
      <c r="V188" s="53"/>
      <c r="W188" s="53"/>
      <c r="X188" s="53"/>
      <c r="AA188" s="58"/>
      <c r="AB188" s="58"/>
      <c r="AC188" s="41"/>
      <c r="AD188" s="41"/>
      <c r="AE188" s="41"/>
      <c r="AF188" s="41"/>
      <c r="AG188" s="41"/>
      <c r="AH188" s="53"/>
      <c r="AI188" s="53"/>
      <c r="AJ188" s="53"/>
      <c r="AK188" s="53"/>
      <c r="AL188" s="41"/>
      <c r="AM188" s="41"/>
      <c r="AN188" s="41"/>
      <c r="AO188" s="41"/>
    </row>
    <row r="189" spans="9:41" s="30" customFormat="1">
      <c r="I189" s="69"/>
      <c r="K189" s="44"/>
      <c r="S189" s="41"/>
      <c r="T189" s="53"/>
      <c r="V189" s="53"/>
      <c r="W189" s="53"/>
      <c r="X189" s="53"/>
      <c r="AA189" s="58"/>
      <c r="AB189" s="58"/>
      <c r="AC189" s="41"/>
      <c r="AD189" s="41"/>
      <c r="AE189" s="41"/>
      <c r="AF189" s="41"/>
      <c r="AG189" s="41"/>
      <c r="AH189" s="53"/>
      <c r="AI189" s="53"/>
      <c r="AJ189" s="53"/>
      <c r="AK189" s="53"/>
      <c r="AL189" s="41"/>
      <c r="AM189" s="41"/>
      <c r="AN189" s="41"/>
      <c r="AO189" s="41"/>
    </row>
    <row r="190" spans="9:41" s="30" customFormat="1">
      <c r="I190" s="69"/>
      <c r="K190" s="44"/>
      <c r="S190" s="41"/>
      <c r="T190" s="53"/>
      <c r="V190" s="53"/>
      <c r="W190" s="53"/>
      <c r="X190" s="53"/>
      <c r="AA190" s="58"/>
      <c r="AB190" s="58"/>
      <c r="AC190" s="41"/>
      <c r="AD190" s="41"/>
      <c r="AE190" s="41"/>
      <c r="AF190" s="41"/>
      <c r="AG190" s="41"/>
      <c r="AH190" s="53"/>
      <c r="AI190" s="53"/>
      <c r="AJ190" s="53"/>
      <c r="AK190" s="53"/>
      <c r="AL190" s="41"/>
      <c r="AM190" s="41"/>
      <c r="AN190" s="41"/>
      <c r="AO190" s="41"/>
    </row>
    <row r="191" spans="9:41" s="30" customFormat="1">
      <c r="I191" s="69"/>
      <c r="K191" s="44"/>
      <c r="S191" s="41"/>
      <c r="T191" s="53"/>
      <c r="V191" s="53"/>
      <c r="W191" s="53"/>
      <c r="X191" s="53"/>
      <c r="AA191" s="58"/>
      <c r="AB191" s="58"/>
      <c r="AC191" s="41"/>
      <c r="AD191" s="41"/>
      <c r="AE191" s="41"/>
      <c r="AF191" s="41"/>
      <c r="AG191" s="41"/>
      <c r="AH191" s="53"/>
      <c r="AI191" s="53"/>
      <c r="AJ191" s="53"/>
      <c r="AK191" s="53"/>
      <c r="AL191" s="41"/>
      <c r="AM191" s="41"/>
      <c r="AN191" s="41"/>
      <c r="AO191" s="41"/>
    </row>
    <row r="192" spans="9:41" s="30" customFormat="1">
      <c r="I192" s="69"/>
      <c r="K192" s="44"/>
      <c r="S192" s="41"/>
      <c r="T192" s="53"/>
      <c r="V192" s="53"/>
      <c r="W192" s="53"/>
      <c r="X192" s="53"/>
      <c r="AA192" s="58"/>
      <c r="AB192" s="58"/>
      <c r="AC192" s="41"/>
      <c r="AD192" s="41"/>
      <c r="AE192" s="41"/>
      <c r="AF192" s="41"/>
      <c r="AG192" s="41"/>
      <c r="AH192" s="53"/>
      <c r="AI192" s="53"/>
      <c r="AJ192" s="53"/>
      <c r="AK192" s="53"/>
      <c r="AL192" s="41"/>
      <c r="AM192" s="41"/>
      <c r="AN192" s="41"/>
      <c r="AO192" s="41"/>
    </row>
    <row r="193" spans="9:41" s="30" customFormat="1">
      <c r="I193" s="69"/>
      <c r="K193" s="44"/>
      <c r="S193" s="41"/>
      <c r="T193" s="53"/>
      <c r="V193" s="53"/>
      <c r="W193" s="53"/>
      <c r="X193" s="53"/>
      <c r="AA193" s="58"/>
      <c r="AB193" s="58"/>
      <c r="AC193" s="41"/>
      <c r="AD193" s="41"/>
      <c r="AE193" s="41"/>
      <c r="AF193" s="41"/>
      <c r="AG193" s="41"/>
      <c r="AH193" s="53"/>
      <c r="AI193" s="53"/>
      <c r="AJ193" s="53"/>
      <c r="AK193" s="53"/>
      <c r="AL193" s="41"/>
      <c r="AM193" s="41"/>
      <c r="AN193" s="41"/>
      <c r="AO193" s="41"/>
    </row>
    <row r="194" spans="9:41" s="30" customFormat="1">
      <c r="I194" s="69"/>
      <c r="K194" s="44"/>
      <c r="S194" s="41"/>
      <c r="T194" s="53"/>
      <c r="V194" s="53"/>
      <c r="W194" s="53"/>
      <c r="X194" s="53"/>
      <c r="AA194" s="58"/>
      <c r="AB194" s="58"/>
      <c r="AC194" s="41"/>
      <c r="AD194" s="41"/>
      <c r="AE194" s="41"/>
      <c r="AF194" s="41"/>
      <c r="AG194" s="41"/>
      <c r="AH194" s="53"/>
      <c r="AI194" s="53"/>
      <c r="AJ194" s="53"/>
      <c r="AK194" s="53"/>
      <c r="AL194" s="41"/>
      <c r="AM194" s="41"/>
      <c r="AN194" s="41"/>
      <c r="AO194" s="41"/>
    </row>
    <row r="195" spans="9:41" s="30" customFormat="1">
      <c r="I195" s="69"/>
      <c r="K195" s="44"/>
      <c r="S195" s="41"/>
      <c r="T195" s="53"/>
      <c r="V195" s="53"/>
      <c r="W195" s="53"/>
      <c r="X195" s="53"/>
      <c r="AA195" s="58"/>
      <c r="AB195" s="58"/>
      <c r="AC195" s="41"/>
      <c r="AD195" s="41"/>
      <c r="AE195" s="41"/>
      <c r="AF195" s="41"/>
      <c r="AG195" s="41"/>
      <c r="AH195" s="53"/>
      <c r="AI195" s="53"/>
      <c r="AJ195" s="53"/>
      <c r="AK195" s="53"/>
      <c r="AL195" s="41"/>
      <c r="AM195" s="41"/>
      <c r="AN195" s="41"/>
      <c r="AO195" s="41"/>
    </row>
    <row r="196" spans="9:41" s="30" customFormat="1">
      <c r="I196" s="69"/>
      <c r="K196" s="44"/>
      <c r="S196" s="41"/>
      <c r="T196" s="53"/>
      <c r="V196" s="53"/>
      <c r="W196" s="53"/>
      <c r="X196" s="53"/>
      <c r="AA196" s="58"/>
      <c r="AB196" s="58"/>
      <c r="AC196" s="41"/>
      <c r="AD196" s="41"/>
      <c r="AE196" s="41"/>
      <c r="AF196" s="41"/>
      <c r="AG196" s="41"/>
      <c r="AH196" s="53"/>
      <c r="AI196" s="53"/>
      <c r="AJ196" s="53"/>
      <c r="AK196" s="53"/>
      <c r="AL196" s="41"/>
      <c r="AM196" s="41"/>
      <c r="AN196" s="41"/>
      <c r="AO196" s="41"/>
    </row>
    <row r="197" spans="9:41" s="30" customFormat="1">
      <c r="I197" s="69"/>
      <c r="K197" s="44"/>
      <c r="S197" s="41"/>
      <c r="T197" s="53"/>
      <c r="V197" s="53"/>
      <c r="W197" s="53"/>
      <c r="X197" s="53"/>
      <c r="AA197" s="58"/>
      <c r="AB197" s="58"/>
      <c r="AC197" s="41"/>
      <c r="AD197" s="41"/>
      <c r="AE197" s="41"/>
      <c r="AF197" s="41"/>
      <c r="AG197" s="41"/>
      <c r="AH197" s="53"/>
      <c r="AI197" s="53"/>
      <c r="AJ197" s="53"/>
      <c r="AK197" s="53"/>
      <c r="AL197" s="41"/>
      <c r="AM197" s="41"/>
      <c r="AN197" s="41"/>
      <c r="AO197" s="41"/>
    </row>
    <row r="198" spans="9:41" s="30" customFormat="1">
      <c r="I198" s="69"/>
      <c r="K198" s="44"/>
      <c r="S198" s="41"/>
      <c r="T198" s="53"/>
      <c r="V198" s="53"/>
      <c r="W198" s="53"/>
      <c r="X198" s="53"/>
      <c r="AA198" s="58"/>
      <c r="AB198" s="58"/>
      <c r="AC198" s="41"/>
      <c r="AD198" s="41"/>
      <c r="AE198" s="41"/>
      <c r="AF198" s="41"/>
      <c r="AG198" s="41"/>
      <c r="AH198" s="53"/>
      <c r="AI198" s="53"/>
      <c r="AJ198" s="53"/>
      <c r="AK198" s="53"/>
      <c r="AL198" s="41"/>
      <c r="AM198" s="41"/>
      <c r="AN198" s="41"/>
      <c r="AO198" s="41"/>
    </row>
    <row r="199" spans="9:41" s="30" customFormat="1">
      <c r="I199" s="69"/>
      <c r="K199" s="44"/>
      <c r="S199" s="41"/>
      <c r="T199" s="53"/>
      <c r="V199" s="53"/>
      <c r="W199" s="53"/>
      <c r="X199" s="53"/>
      <c r="AA199" s="58"/>
      <c r="AB199" s="58"/>
      <c r="AC199" s="41"/>
      <c r="AD199" s="41"/>
      <c r="AE199" s="41"/>
      <c r="AF199" s="41"/>
      <c r="AG199" s="41"/>
      <c r="AH199" s="53"/>
      <c r="AI199" s="53"/>
      <c r="AJ199" s="53"/>
      <c r="AK199" s="53"/>
      <c r="AL199" s="41"/>
      <c r="AM199" s="41"/>
      <c r="AN199" s="41"/>
      <c r="AO199" s="41"/>
    </row>
    <row r="200" spans="9:41" s="30" customFormat="1">
      <c r="I200" s="69"/>
      <c r="K200" s="44"/>
      <c r="S200" s="41"/>
      <c r="T200" s="53"/>
      <c r="V200" s="53"/>
      <c r="W200" s="53"/>
      <c r="X200" s="53"/>
      <c r="AA200" s="58"/>
      <c r="AB200" s="58"/>
      <c r="AC200" s="41"/>
      <c r="AD200" s="41"/>
      <c r="AE200" s="41"/>
      <c r="AF200" s="41"/>
      <c r="AG200" s="41"/>
      <c r="AH200" s="53"/>
      <c r="AI200" s="53"/>
      <c r="AJ200" s="53"/>
      <c r="AK200" s="53"/>
      <c r="AL200" s="41"/>
      <c r="AM200" s="41"/>
      <c r="AN200" s="41"/>
      <c r="AO200" s="41"/>
    </row>
    <row r="201" spans="9:41" s="30" customFormat="1">
      <c r="I201" s="69"/>
      <c r="K201" s="44"/>
      <c r="S201" s="41"/>
      <c r="T201" s="53"/>
      <c r="V201" s="53"/>
      <c r="W201" s="53"/>
      <c r="X201" s="53"/>
      <c r="AA201" s="58"/>
      <c r="AB201" s="58"/>
      <c r="AC201" s="41"/>
      <c r="AD201" s="41"/>
      <c r="AE201" s="41"/>
      <c r="AF201" s="41"/>
      <c r="AG201" s="41"/>
      <c r="AH201" s="53"/>
      <c r="AI201" s="53"/>
      <c r="AJ201" s="53"/>
      <c r="AK201" s="53"/>
      <c r="AL201" s="41"/>
      <c r="AM201" s="41"/>
      <c r="AN201" s="41"/>
      <c r="AO201" s="41"/>
    </row>
    <row r="202" spans="9:41" s="30" customFormat="1">
      <c r="I202" s="69"/>
      <c r="K202" s="44"/>
      <c r="S202" s="41"/>
      <c r="T202" s="53"/>
      <c r="V202" s="53"/>
      <c r="W202" s="53"/>
      <c r="X202" s="53"/>
      <c r="AA202" s="58"/>
      <c r="AB202" s="58"/>
      <c r="AC202" s="41"/>
      <c r="AD202" s="41"/>
      <c r="AE202" s="41"/>
      <c r="AF202" s="41"/>
      <c r="AG202" s="41"/>
      <c r="AH202" s="53"/>
      <c r="AI202" s="53"/>
      <c r="AJ202" s="53"/>
      <c r="AK202" s="53"/>
      <c r="AL202" s="41"/>
      <c r="AM202" s="41"/>
      <c r="AN202" s="41"/>
      <c r="AO202" s="41"/>
    </row>
    <row r="203" spans="9:41" s="30" customFormat="1">
      <c r="I203" s="69"/>
      <c r="K203" s="44"/>
      <c r="S203" s="41"/>
      <c r="T203" s="53"/>
      <c r="V203" s="53"/>
      <c r="W203" s="53"/>
      <c r="X203" s="53"/>
      <c r="AA203" s="58"/>
      <c r="AB203" s="58"/>
      <c r="AC203" s="41"/>
      <c r="AD203" s="41"/>
      <c r="AE203" s="41"/>
      <c r="AF203" s="41"/>
      <c r="AG203" s="41"/>
      <c r="AH203" s="53"/>
      <c r="AI203" s="53"/>
      <c r="AJ203" s="53"/>
      <c r="AK203" s="53"/>
      <c r="AL203" s="41"/>
      <c r="AM203" s="41"/>
      <c r="AN203" s="41"/>
      <c r="AO203" s="41"/>
    </row>
    <row r="204" spans="9:41" s="30" customFormat="1">
      <c r="I204" s="69"/>
      <c r="K204" s="44"/>
      <c r="S204" s="41"/>
      <c r="T204" s="53"/>
      <c r="V204" s="53"/>
      <c r="W204" s="53"/>
      <c r="X204" s="53"/>
      <c r="AA204" s="58"/>
      <c r="AB204" s="58"/>
      <c r="AC204" s="41"/>
      <c r="AD204" s="41"/>
      <c r="AE204" s="41"/>
      <c r="AF204" s="41"/>
      <c r="AG204" s="41"/>
      <c r="AH204" s="53"/>
      <c r="AI204" s="53"/>
      <c r="AJ204" s="53"/>
      <c r="AK204" s="53"/>
      <c r="AL204" s="41"/>
      <c r="AM204" s="41"/>
      <c r="AN204" s="41"/>
      <c r="AO204" s="41"/>
    </row>
    <row r="205" spans="9:41" s="30" customFormat="1">
      <c r="I205" s="69"/>
      <c r="K205" s="44"/>
      <c r="S205" s="41"/>
      <c r="T205" s="53"/>
      <c r="V205" s="53"/>
      <c r="W205" s="53"/>
      <c r="X205" s="53"/>
      <c r="AA205" s="58"/>
      <c r="AB205" s="58"/>
      <c r="AC205" s="41"/>
      <c r="AD205" s="41"/>
      <c r="AE205" s="41"/>
      <c r="AF205" s="41"/>
      <c r="AG205" s="41"/>
      <c r="AH205" s="53"/>
      <c r="AI205" s="53"/>
      <c r="AJ205" s="53"/>
      <c r="AK205" s="53"/>
      <c r="AL205" s="41"/>
      <c r="AM205" s="41"/>
      <c r="AN205" s="41"/>
      <c r="AO205" s="41"/>
    </row>
    <row r="206" spans="9:41" s="30" customFormat="1">
      <c r="I206" s="69"/>
      <c r="K206" s="44"/>
      <c r="S206" s="41"/>
      <c r="T206" s="53"/>
      <c r="V206" s="53"/>
      <c r="W206" s="53"/>
      <c r="X206" s="53"/>
      <c r="AA206" s="58"/>
      <c r="AB206" s="58"/>
      <c r="AC206" s="41"/>
      <c r="AD206" s="41"/>
      <c r="AE206" s="41"/>
      <c r="AF206" s="41"/>
      <c r="AG206" s="41"/>
      <c r="AH206" s="53"/>
      <c r="AI206" s="53"/>
      <c r="AJ206" s="53"/>
      <c r="AK206" s="53"/>
      <c r="AL206" s="41"/>
      <c r="AM206" s="41"/>
      <c r="AN206" s="41"/>
      <c r="AO206" s="41"/>
    </row>
    <row r="207" spans="9:41" s="30" customFormat="1">
      <c r="I207" s="69"/>
      <c r="K207" s="44"/>
      <c r="S207" s="41"/>
      <c r="T207" s="53"/>
      <c r="V207" s="53"/>
      <c r="W207" s="53"/>
      <c r="X207" s="53"/>
      <c r="AA207" s="58"/>
      <c r="AB207" s="58"/>
      <c r="AC207" s="41"/>
      <c r="AD207" s="41"/>
      <c r="AE207" s="41"/>
      <c r="AF207" s="41"/>
      <c r="AG207" s="41"/>
      <c r="AH207" s="53"/>
      <c r="AI207" s="53"/>
      <c r="AJ207" s="53"/>
      <c r="AK207" s="53"/>
      <c r="AL207" s="41"/>
      <c r="AM207" s="41"/>
      <c r="AN207" s="41"/>
      <c r="AO207" s="41"/>
    </row>
    <row r="208" spans="9:41" s="30" customFormat="1">
      <c r="I208" s="69"/>
      <c r="K208" s="44"/>
      <c r="S208" s="41"/>
      <c r="T208" s="53"/>
      <c r="V208" s="53"/>
      <c r="W208" s="53"/>
      <c r="X208" s="53"/>
      <c r="AA208" s="58"/>
      <c r="AB208" s="58"/>
      <c r="AC208" s="41"/>
      <c r="AD208" s="41"/>
      <c r="AE208" s="41"/>
      <c r="AF208" s="41"/>
      <c r="AG208" s="41"/>
      <c r="AH208" s="53"/>
      <c r="AI208" s="53"/>
      <c r="AJ208" s="53"/>
      <c r="AK208" s="53"/>
      <c r="AL208" s="41"/>
      <c r="AM208" s="41"/>
      <c r="AN208" s="41"/>
      <c r="AO208" s="41"/>
    </row>
    <row r="209" spans="9:41" s="30" customFormat="1">
      <c r="I209" s="69"/>
      <c r="K209" s="44"/>
      <c r="S209" s="41"/>
      <c r="T209" s="53"/>
      <c r="V209" s="53"/>
      <c r="W209" s="53"/>
      <c r="X209" s="53"/>
      <c r="AA209" s="58"/>
      <c r="AB209" s="58"/>
      <c r="AC209" s="41"/>
      <c r="AD209" s="41"/>
      <c r="AE209" s="41"/>
      <c r="AF209" s="41"/>
      <c r="AG209" s="41"/>
      <c r="AH209" s="53"/>
      <c r="AI209" s="53"/>
      <c r="AJ209" s="53"/>
      <c r="AK209" s="53"/>
      <c r="AL209" s="41"/>
      <c r="AM209" s="41"/>
      <c r="AN209" s="41"/>
      <c r="AO209" s="41"/>
    </row>
    <row r="210" spans="9:41" s="30" customFormat="1">
      <c r="I210" s="69"/>
      <c r="K210" s="44"/>
      <c r="S210" s="41"/>
      <c r="T210" s="53"/>
      <c r="V210" s="53"/>
      <c r="W210" s="53"/>
      <c r="X210" s="53"/>
      <c r="AA210" s="58"/>
      <c r="AB210" s="58"/>
      <c r="AC210" s="41"/>
      <c r="AD210" s="41"/>
      <c r="AE210" s="41"/>
      <c r="AF210" s="41"/>
      <c r="AG210" s="41"/>
      <c r="AH210" s="53"/>
      <c r="AI210" s="53"/>
      <c r="AJ210" s="53"/>
      <c r="AK210" s="53"/>
      <c r="AL210" s="41"/>
      <c r="AM210" s="41"/>
      <c r="AN210" s="41"/>
      <c r="AO210" s="41"/>
    </row>
    <row r="211" spans="9:41" s="30" customFormat="1">
      <c r="I211" s="69"/>
      <c r="K211" s="44"/>
      <c r="S211" s="41"/>
      <c r="T211" s="53"/>
      <c r="V211" s="53"/>
      <c r="W211" s="53"/>
      <c r="X211" s="53"/>
      <c r="AA211" s="58"/>
      <c r="AB211" s="58"/>
      <c r="AC211" s="41"/>
      <c r="AD211" s="41"/>
      <c r="AE211" s="41"/>
      <c r="AF211" s="41"/>
      <c r="AG211" s="41"/>
      <c r="AH211" s="53"/>
      <c r="AI211" s="53"/>
      <c r="AJ211" s="53"/>
      <c r="AK211" s="53"/>
      <c r="AL211" s="41"/>
      <c r="AM211" s="41"/>
      <c r="AN211" s="41"/>
      <c r="AO211" s="41"/>
    </row>
    <row r="212" spans="9:41" s="30" customFormat="1">
      <c r="I212" s="69"/>
      <c r="K212" s="44"/>
      <c r="S212" s="41"/>
      <c r="T212" s="53"/>
      <c r="V212" s="53"/>
      <c r="W212" s="53"/>
      <c r="X212" s="53"/>
      <c r="AA212" s="58"/>
      <c r="AB212" s="58"/>
      <c r="AC212" s="41"/>
      <c r="AD212" s="41"/>
      <c r="AE212" s="41"/>
      <c r="AF212" s="41"/>
      <c r="AG212" s="41"/>
      <c r="AH212" s="53"/>
      <c r="AI212" s="53"/>
      <c r="AJ212" s="53"/>
      <c r="AK212" s="53"/>
      <c r="AL212" s="41"/>
      <c r="AM212" s="41"/>
      <c r="AN212" s="41"/>
      <c r="AO212" s="41"/>
    </row>
    <row r="213" spans="9:41" s="30" customFormat="1">
      <c r="I213" s="69"/>
      <c r="K213" s="44"/>
      <c r="S213" s="41"/>
      <c r="T213" s="53"/>
      <c r="V213" s="53"/>
      <c r="W213" s="53"/>
      <c r="X213" s="53"/>
      <c r="AA213" s="58"/>
      <c r="AB213" s="58"/>
      <c r="AC213" s="41"/>
      <c r="AD213" s="41"/>
      <c r="AE213" s="41"/>
      <c r="AF213" s="41"/>
      <c r="AG213" s="41"/>
      <c r="AH213" s="53"/>
      <c r="AI213" s="53"/>
      <c r="AJ213" s="53"/>
      <c r="AK213" s="53"/>
      <c r="AL213" s="41"/>
      <c r="AM213" s="41"/>
      <c r="AN213" s="41"/>
      <c r="AO213" s="41"/>
    </row>
    <row r="214" spans="9:41" s="30" customFormat="1">
      <c r="I214" s="69"/>
      <c r="K214" s="44"/>
      <c r="S214" s="41"/>
      <c r="T214" s="53"/>
      <c r="V214" s="53"/>
      <c r="W214" s="53"/>
      <c r="X214" s="53"/>
      <c r="AA214" s="58"/>
      <c r="AB214" s="58"/>
      <c r="AC214" s="41"/>
      <c r="AD214" s="41"/>
      <c r="AE214" s="41"/>
      <c r="AF214" s="41"/>
      <c r="AG214" s="41"/>
      <c r="AH214" s="53"/>
      <c r="AI214" s="53"/>
      <c r="AJ214" s="53"/>
      <c r="AK214" s="53"/>
      <c r="AL214" s="41"/>
      <c r="AM214" s="41"/>
      <c r="AN214" s="41"/>
      <c r="AO214" s="41"/>
    </row>
    <row r="215" spans="9:41" s="30" customFormat="1">
      <c r="I215" s="69"/>
      <c r="K215" s="44"/>
      <c r="S215" s="41"/>
      <c r="T215" s="53"/>
      <c r="V215" s="53"/>
      <c r="W215" s="53"/>
      <c r="X215" s="53"/>
      <c r="AA215" s="58"/>
      <c r="AB215" s="58"/>
      <c r="AC215" s="41"/>
      <c r="AD215" s="41"/>
      <c r="AE215" s="41"/>
      <c r="AF215" s="41"/>
      <c r="AG215" s="41"/>
      <c r="AH215" s="53"/>
      <c r="AI215" s="53"/>
      <c r="AJ215" s="53"/>
      <c r="AK215" s="53"/>
      <c r="AL215" s="41"/>
      <c r="AM215" s="41"/>
      <c r="AN215" s="41"/>
      <c r="AO215" s="41"/>
    </row>
    <row r="216" spans="9:41" s="30" customFormat="1">
      <c r="I216" s="69"/>
      <c r="K216" s="44"/>
      <c r="S216" s="41"/>
      <c r="T216" s="53"/>
      <c r="V216" s="53"/>
      <c r="W216" s="53"/>
      <c r="X216" s="53"/>
      <c r="AA216" s="58"/>
      <c r="AB216" s="58"/>
      <c r="AC216" s="41"/>
      <c r="AD216" s="41"/>
      <c r="AE216" s="41"/>
      <c r="AF216" s="41"/>
      <c r="AG216" s="41"/>
      <c r="AH216" s="53"/>
      <c r="AI216" s="53"/>
      <c r="AJ216" s="53"/>
      <c r="AK216" s="53"/>
      <c r="AL216" s="41"/>
      <c r="AM216" s="41"/>
      <c r="AN216" s="41"/>
      <c r="AO216" s="41"/>
    </row>
    <row r="217" spans="9:41" s="30" customFormat="1">
      <c r="I217" s="69"/>
      <c r="K217" s="44"/>
      <c r="S217" s="41"/>
      <c r="T217" s="53"/>
      <c r="V217" s="53"/>
      <c r="W217" s="53"/>
      <c r="X217" s="53"/>
      <c r="AA217" s="58"/>
      <c r="AB217" s="58"/>
      <c r="AC217" s="41"/>
      <c r="AD217" s="41"/>
      <c r="AE217" s="41"/>
      <c r="AF217" s="41"/>
      <c r="AG217" s="41"/>
      <c r="AH217" s="53"/>
      <c r="AI217" s="53"/>
      <c r="AJ217" s="53"/>
      <c r="AK217" s="53"/>
      <c r="AL217" s="41"/>
      <c r="AM217" s="41"/>
      <c r="AN217" s="41"/>
      <c r="AO217" s="41"/>
    </row>
    <row r="218" spans="9:41" s="30" customFormat="1">
      <c r="I218" s="69"/>
      <c r="K218" s="44"/>
      <c r="S218" s="41"/>
      <c r="T218" s="53"/>
      <c r="V218" s="53"/>
      <c r="W218" s="53"/>
      <c r="X218" s="53"/>
      <c r="AA218" s="58"/>
      <c r="AB218" s="58"/>
      <c r="AC218" s="41"/>
      <c r="AD218" s="41"/>
      <c r="AE218" s="41"/>
      <c r="AF218" s="41"/>
      <c r="AG218" s="41"/>
      <c r="AH218" s="53"/>
      <c r="AI218" s="53"/>
      <c r="AJ218" s="53"/>
      <c r="AK218" s="53"/>
      <c r="AL218" s="41"/>
      <c r="AM218" s="41"/>
      <c r="AN218" s="41"/>
      <c r="AO218" s="41"/>
    </row>
    <row r="219" spans="9:41" s="30" customFormat="1">
      <c r="I219" s="69"/>
      <c r="K219" s="44"/>
      <c r="S219" s="41"/>
      <c r="T219" s="53"/>
      <c r="V219" s="53"/>
      <c r="W219" s="53"/>
      <c r="X219" s="53"/>
      <c r="AA219" s="58"/>
      <c r="AB219" s="58"/>
      <c r="AC219" s="41"/>
      <c r="AD219" s="41"/>
      <c r="AE219" s="41"/>
      <c r="AF219" s="41"/>
      <c r="AG219" s="41"/>
      <c r="AH219" s="53"/>
      <c r="AI219" s="53"/>
      <c r="AJ219" s="53"/>
      <c r="AK219" s="53"/>
      <c r="AL219" s="41"/>
      <c r="AM219" s="41"/>
      <c r="AN219" s="41"/>
      <c r="AO219" s="41"/>
    </row>
    <row r="220" spans="9:41" s="30" customFormat="1">
      <c r="I220" s="69"/>
      <c r="K220" s="44"/>
      <c r="S220" s="41"/>
      <c r="T220" s="53"/>
      <c r="V220" s="53"/>
      <c r="W220" s="53"/>
      <c r="X220" s="53"/>
      <c r="AA220" s="58"/>
      <c r="AB220" s="58"/>
      <c r="AC220" s="41"/>
      <c r="AD220" s="41"/>
      <c r="AE220" s="41"/>
      <c r="AF220" s="41"/>
      <c r="AG220" s="41"/>
      <c r="AH220" s="53"/>
      <c r="AI220" s="53"/>
      <c r="AJ220" s="53"/>
      <c r="AK220" s="53"/>
      <c r="AL220" s="41"/>
      <c r="AM220" s="41"/>
      <c r="AN220" s="41"/>
      <c r="AO220" s="41"/>
    </row>
    <row r="221" spans="9:41" s="30" customFormat="1">
      <c r="I221" s="69"/>
      <c r="K221" s="44"/>
      <c r="S221" s="41"/>
      <c r="T221" s="53"/>
      <c r="V221" s="53"/>
      <c r="W221" s="53"/>
      <c r="X221" s="53"/>
      <c r="AA221" s="58"/>
      <c r="AB221" s="58"/>
      <c r="AC221" s="41"/>
      <c r="AD221" s="41"/>
      <c r="AE221" s="41"/>
      <c r="AF221" s="41"/>
      <c r="AG221" s="41"/>
      <c r="AH221" s="53"/>
      <c r="AI221" s="53"/>
      <c r="AJ221" s="53"/>
      <c r="AK221" s="53"/>
      <c r="AL221" s="41"/>
      <c r="AM221" s="41"/>
      <c r="AN221" s="41"/>
      <c r="AO221" s="41"/>
    </row>
    <row r="222" spans="9:41" s="30" customFormat="1">
      <c r="I222" s="69"/>
      <c r="K222" s="44"/>
      <c r="S222" s="41"/>
      <c r="T222" s="53"/>
      <c r="V222" s="53"/>
      <c r="W222" s="53"/>
      <c r="X222" s="53"/>
      <c r="AA222" s="58"/>
      <c r="AB222" s="58"/>
      <c r="AC222" s="41"/>
      <c r="AD222" s="41"/>
      <c r="AE222" s="41"/>
      <c r="AF222" s="41"/>
      <c r="AG222" s="41"/>
      <c r="AH222" s="53"/>
      <c r="AI222" s="53"/>
      <c r="AJ222" s="53"/>
      <c r="AK222" s="53"/>
      <c r="AL222" s="41"/>
      <c r="AM222" s="41"/>
      <c r="AN222" s="41"/>
      <c r="AO222" s="41"/>
    </row>
    <row r="223" spans="9:41" s="30" customFormat="1">
      <c r="I223" s="69"/>
      <c r="K223" s="44"/>
      <c r="S223" s="41"/>
      <c r="T223" s="53"/>
      <c r="V223" s="53"/>
      <c r="W223" s="53"/>
      <c r="X223" s="53"/>
      <c r="AA223" s="58"/>
      <c r="AB223" s="58"/>
      <c r="AC223" s="41"/>
      <c r="AD223" s="41"/>
      <c r="AE223" s="41"/>
      <c r="AF223" s="41"/>
      <c r="AG223" s="41"/>
      <c r="AH223" s="53"/>
      <c r="AI223" s="53"/>
      <c r="AJ223" s="53"/>
      <c r="AK223" s="53"/>
      <c r="AL223" s="41"/>
      <c r="AM223" s="41"/>
      <c r="AN223" s="41"/>
      <c r="AO223" s="41"/>
    </row>
    <row r="224" spans="9:41" s="30" customFormat="1">
      <c r="I224" s="69"/>
      <c r="K224" s="44"/>
      <c r="S224" s="41"/>
      <c r="T224" s="53"/>
      <c r="V224" s="53"/>
      <c r="W224" s="53"/>
      <c r="X224" s="53"/>
      <c r="AA224" s="58"/>
      <c r="AB224" s="58"/>
      <c r="AC224" s="41"/>
      <c r="AD224" s="41"/>
      <c r="AE224" s="41"/>
      <c r="AF224" s="41"/>
      <c r="AG224" s="41"/>
      <c r="AH224" s="53"/>
      <c r="AI224" s="53"/>
      <c r="AJ224" s="53"/>
      <c r="AK224" s="53"/>
      <c r="AL224" s="41"/>
      <c r="AM224" s="41"/>
      <c r="AN224" s="41"/>
      <c r="AO224" s="41"/>
    </row>
    <row r="225" spans="9:41" s="30" customFormat="1">
      <c r="I225" s="69"/>
      <c r="K225" s="44"/>
      <c r="S225" s="41"/>
      <c r="T225" s="53"/>
      <c r="V225" s="53"/>
      <c r="W225" s="53"/>
      <c r="X225" s="53"/>
      <c r="AA225" s="58"/>
      <c r="AB225" s="58"/>
      <c r="AC225" s="41"/>
      <c r="AD225" s="41"/>
      <c r="AE225" s="41"/>
      <c r="AF225" s="41"/>
      <c r="AG225" s="41"/>
      <c r="AH225" s="53"/>
      <c r="AI225" s="53"/>
      <c r="AJ225" s="53"/>
      <c r="AK225" s="53"/>
      <c r="AL225" s="41"/>
      <c r="AM225" s="41"/>
      <c r="AN225" s="41"/>
      <c r="AO225" s="41"/>
    </row>
    <row r="226" spans="9:41" s="30" customFormat="1">
      <c r="I226" s="69"/>
      <c r="K226" s="44"/>
      <c r="S226" s="41"/>
      <c r="T226" s="53"/>
      <c r="V226" s="53"/>
      <c r="W226" s="53"/>
      <c r="X226" s="53"/>
      <c r="AA226" s="58"/>
      <c r="AB226" s="58"/>
      <c r="AC226" s="41"/>
      <c r="AD226" s="41"/>
      <c r="AE226" s="41"/>
      <c r="AF226" s="41"/>
      <c r="AG226" s="41"/>
      <c r="AH226" s="53"/>
      <c r="AI226" s="53"/>
      <c r="AJ226" s="53"/>
      <c r="AK226" s="53"/>
      <c r="AL226" s="41"/>
      <c r="AM226" s="41"/>
      <c r="AN226" s="41"/>
      <c r="AO226" s="41"/>
    </row>
    <row r="227" spans="9:41" s="30" customFormat="1">
      <c r="I227" s="69"/>
      <c r="K227" s="44"/>
      <c r="S227" s="41"/>
      <c r="T227" s="53"/>
      <c r="V227" s="53"/>
      <c r="W227" s="53"/>
      <c r="X227" s="53"/>
      <c r="AA227" s="58"/>
      <c r="AB227" s="58"/>
      <c r="AC227" s="41"/>
      <c r="AD227" s="41"/>
      <c r="AE227" s="41"/>
      <c r="AF227" s="41"/>
      <c r="AG227" s="41"/>
      <c r="AH227" s="53"/>
      <c r="AI227" s="53"/>
      <c r="AJ227" s="53"/>
      <c r="AK227" s="53"/>
      <c r="AL227" s="41"/>
      <c r="AM227" s="41"/>
      <c r="AN227" s="41"/>
      <c r="AO227" s="41"/>
    </row>
    <row r="228" spans="9:41" s="30" customFormat="1">
      <c r="I228" s="69"/>
      <c r="K228" s="44"/>
      <c r="S228" s="41"/>
      <c r="T228" s="53"/>
      <c r="V228" s="53"/>
      <c r="W228" s="53"/>
      <c r="X228" s="53"/>
      <c r="AA228" s="58"/>
      <c r="AB228" s="58"/>
      <c r="AC228" s="41"/>
      <c r="AD228" s="41"/>
      <c r="AE228" s="41"/>
      <c r="AF228" s="41"/>
      <c r="AG228" s="41"/>
      <c r="AH228" s="53"/>
      <c r="AI228" s="53"/>
      <c r="AJ228" s="53"/>
      <c r="AK228" s="53"/>
      <c r="AL228" s="41"/>
      <c r="AM228" s="41"/>
      <c r="AN228" s="41"/>
      <c r="AO228" s="41"/>
    </row>
    <row r="229" spans="9:41" s="30" customFormat="1">
      <c r="I229" s="69"/>
      <c r="K229" s="44"/>
      <c r="S229" s="41"/>
      <c r="T229" s="53"/>
      <c r="V229" s="53"/>
      <c r="W229" s="53"/>
      <c r="X229" s="53"/>
      <c r="AA229" s="58"/>
      <c r="AB229" s="58"/>
      <c r="AC229" s="41"/>
      <c r="AD229" s="41"/>
      <c r="AE229" s="41"/>
      <c r="AF229" s="41"/>
      <c r="AG229" s="41"/>
      <c r="AH229" s="53"/>
      <c r="AI229" s="53"/>
      <c r="AJ229" s="53"/>
      <c r="AK229" s="53"/>
      <c r="AL229" s="41"/>
      <c r="AM229" s="41"/>
      <c r="AN229" s="41"/>
      <c r="AO229" s="41"/>
    </row>
    <row r="230" spans="9:41" s="30" customFormat="1">
      <c r="I230" s="69"/>
      <c r="K230" s="44"/>
      <c r="S230" s="41"/>
      <c r="T230" s="53"/>
      <c r="V230" s="53"/>
      <c r="W230" s="53"/>
      <c r="X230" s="53"/>
      <c r="AA230" s="58"/>
      <c r="AB230" s="58"/>
      <c r="AC230" s="41"/>
      <c r="AD230" s="41"/>
      <c r="AE230" s="41"/>
      <c r="AF230" s="41"/>
      <c r="AG230" s="41"/>
      <c r="AH230" s="53"/>
      <c r="AI230" s="53"/>
      <c r="AJ230" s="53"/>
      <c r="AK230" s="53"/>
      <c r="AL230" s="41"/>
      <c r="AM230" s="41"/>
      <c r="AN230" s="41"/>
      <c r="AO230" s="41"/>
    </row>
    <row r="231" spans="9:41" s="30" customFormat="1">
      <c r="I231" s="69"/>
      <c r="K231" s="44"/>
      <c r="S231" s="41"/>
      <c r="T231" s="53"/>
      <c r="V231" s="53"/>
      <c r="W231" s="53"/>
      <c r="X231" s="53"/>
      <c r="AA231" s="58"/>
      <c r="AB231" s="58"/>
      <c r="AC231" s="41"/>
      <c r="AD231" s="41"/>
      <c r="AE231" s="41"/>
      <c r="AF231" s="41"/>
      <c r="AG231" s="41"/>
      <c r="AH231" s="53"/>
      <c r="AI231" s="53"/>
      <c r="AJ231" s="53"/>
      <c r="AK231" s="53"/>
      <c r="AL231" s="41"/>
      <c r="AM231" s="41"/>
      <c r="AN231" s="41"/>
      <c r="AO231" s="41"/>
    </row>
    <row r="232" spans="9:41" s="30" customFormat="1">
      <c r="I232" s="69"/>
      <c r="K232" s="44"/>
      <c r="S232" s="41"/>
      <c r="T232" s="53"/>
      <c r="V232" s="53"/>
      <c r="W232" s="53"/>
      <c r="X232" s="53"/>
      <c r="AA232" s="58"/>
      <c r="AB232" s="58"/>
      <c r="AC232" s="41"/>
      <c r="AD232" s="41"/>
      <c r="AE232" s="41"/>
      <c r="AF232" s="41"/>
      <c r="AG232" s="41"/>
      <c r="AH232" s="53"/>
      <c r="AI232" s="53"/>
      <c r="AJ232" s="53"/>
      <c r="AK232" s="53"/>
      <c r="AL232" s="41"/>
      <c r="AM232" s="41"/>
      <c r="AN232" s="41"/>
      <c r="AO232" s="41"/>
    </row>
    <row r="233" spans="9:41" s="30" customFormat="1">
      <c r="I233" s="69"/>
      <c r="K233" s="44"/>
      <c r="S233" s="41"/>
      <c r="T233" s="53"/>
      <c r="V233" s="53"/>
      <c r="W233" s="53"/>
      <c r="X233" s="53"/>
      <c r="AA233" s="58"/>
      <c r="AB233" s="58"/>
      <c r="AC233" s="41"/>
      <c r="AD233" s="41"/>
      <c r="AE233" s="41"/>
      <c r="AF233" s="41"/>
      <c r="AG233" s="41"/>
      <c r="AH233" s="53"/>
      <c r="AI233" s="53"/>
      <c r="AJ233" s="53"/>
      <c r="AK233" s="53"/>
      <c r="AL233" s="41"/>
      <c r="AM233" s="41"/>
      <c r="AN233" s="41"/>
      <c r="AO233" s="41"/>
    </row>
    <row r="234" spans="9:41" s="30" customFormat="1">
      <c r="I234" s="69"/>
      <c r="K234" s="44"/>
      <c r="S234" s="41"/>
      <c r="T234" s="53"/>
      <c r="V234" s="53"/>
      <c r="W234" s="53"/>
      <c r="X234" s="53"/>
      <c r="AA234" s="58"/>
      <c r="AB234" s="58"/>
      <c r="AC234" s="41"/>
      <c r="AD234" s="41"/>
      <c r="AE234" s="41"/>
      <c r="AF234" s="41"/>
      <c r="AG234" s="41"/>
      <c r="AH234" s="53"/>
      <c r="AI234" s="53"/>
      <c r="AJ234" s="53"/>
      <c r="AK234" s="53"/>
      <c r="AL234" s="41"/>
      <c r="AM234" s="41"/>
      <c r="AN234" s="41"/>
      <c r="AO234" s="41"/>
    </row>
    <row r="235" spans="9:41" s="30" customFormat="1">
      <c r="I235" s="69"/>
      <c r="K235" s="44"/>
      <c r="S235" s="41"/>
      <c r="T235" s="53"/>
      <c r="V235" s="53"/>
      <c r="W235" s="53"/>
      <c r="X235" s="53"/>
      <c r="AA235" s="58"/>
      <c r="AB235" s="58"/>
      <c r="AC235" s="41"/>
      <c r="AD235" s="41"/>
      <c r="AE235" s="41"/>
      <c r="AF235" s="41"/>
      <c r="AG235" s="41"/>
      <c r="AH235" s="53"/>
      <c r="AI235" s="53"/>
      <c r="AJ235" s="53"/>
      <c r="AK235" s="53"/>
      <c r="AL235" s="41"/>
      <c r="AM235" s="41"/>
      <c r="AN235" s="41"/>
      <c r="AO235" s="41"/>
    </row>
    <row r="236" spans="9:41" s="30" customFormat="1">
      <c r="I236" s="69"/>
      <c r="K236" s="44"/>
      <c r="S236" s="41"/>
      <c r="T236" s="53"/>
      <c r="V236" s="53"/>
      <c r="W236" s="53"/>
      <c r="X236" s="53"/>
      <c r="AA236" s="58"/>
      <c r="AB236" s="58"/>
      <c r="AC236" s="41"/>
      <c r="AD236" s="41"/>
      <c r="AE236" s="41"/>
      <c r="AF236" s="41"/>
      <c r="AG236" s="41"/>
      <c r="AH236" s="53"/>
      <c r="AI236" s="53"/>
      <c r="AJ236" s="53"/>
      <c r="AK236" s="53"/>
      <c r="AL236" s="41"/>
      <c r="AM236" s="41"/>
      <c r="AN236" s="41"/>
      <c r="AO236" s="41"/>
    </row>
    <row r="237" spans="9:41" s="30" customFormat="1">
      <c r="I237" s="69"/>
      <c r="K237" s="44"/>
      <c r="S237" s="41"/>
      <c r="T237" s="53"/>
      <c r="V237" s="53"/>
      <c r="W237" s="53"/>
      <c r="X237" s="53"/>
      <c r="AA237" s="58"/>
      <c r="AB237" s="58"/>
      <c r="AC237" s="41"/>
      <c r="AD237" s="41"/>
      <c r="AE237" s="41"/>
      <c r="AF237" s="41"/>
      <c r="AG237" s="41"/>
      <c r="AH237" s="53"/>
      <c r="AI237" s="53"/>
      <c r="AJ237" s="53"/>
      <c r="AK237" s="53"/>
      <c r="AL237" s="41"/>
      <c r="AM237" s="41"/>
      <c r="AN237" s="41"/>
      <c r="AO237" s="41"/>
    </row>
    <row r="238" spans="9:41" s="30" customFormat="1">
      <c r="I238" s="69"/>
      <c r="K238" s="44"/>
      <c r="S238" s="41"/>
      <c r="T238" s="53"/>
      <c r="V238" s="53"/>
      <c r="W238" s="53"/>
      <c r="X238" s="53"/>
      <c r="AA238" s="58"/>
      <c r="AB238" s="58"/>
      <c r="AC238" s="41"/>
      <c r="AD238" s="41"/>
      <c r="AE238" s="41"/>
      <c r="AF238" s="41"/>
      <c r="AG238" s="41"/>
      <c r="AH238" s="53"/>
      <c r="AI238" s="53"/>
      <c r="AJ238" s="53"/>
      <c r="AK238" s="53"/>
      <c r="AL238" s="41"/>
      <c r="AM238" s="41"/>
      <c r="AN238" s="41"/>
      <c r="AO238" s="41"/>
    </row>
    <row r="239" spans="9:41" s="30" customFormat="1">
      <c r="I239" s="69"/>
      <c r="K239" s="44"/>
      <c r="S239" s="41"/>
      <c r="T239" s="53"/>
      <c r="V239" s="53"/>
      <c r="W239" s="53"/>
      <c r="X239" s="53"/>
      <c r="AA239" s="58"/>
      <c r="AB239" s="58"/>
      <c r="AC239" s="41"/>
      <c r="AD239" s="41"/>
      <c r="AE239" s="41"/>
      <c r="AF239" s="41"/>
      <c r="AG239" s="41"/>
      <c r="AH239" s="53"/>
      <c r="AI239" s="53"/>
      <c r="AJ239" s="53"/>
      <c r="AK239" s="53"/>
      <c r="AL239" s="41"/>
      <c r="AM239" s="41"/>
      <c r="AN239" s="41"/>
      <c r="AO239" s="41"/>
    </row>
    <row r="240" spans="9:41" s="30" customFormat="1">
      <c r="I240" s="69"/>
      <c r="K240" s="44"/>
      <c r="S240" s="41"/>
      <c r="T240" s="53"/>
      <c r="V240" s="53"/>
      <c r="W240" s="53"/>
      <c r="X240" s="53"/>
      <c r="AA240" s="58"/>
      <c r="AB240" s="58"/>
      <c r="AC240" s="41"/>
      <c r="AD240" s="41"/>
      <c r="AE240" s="41"/>
      <c r="AF240" s="41"/>
      <c r="AG240" s="41"/>
      <c r="AH240" s="53"/>
      <c r="AI240" s="53"/>
      <c r="AJ240" s="53"/>
      <c r="AK240" s="53"/>
      <c r="AL240" s="41"/>
      <c r="AM240" s="41"/>
      <c r="AN240" s="41"/>
      <c r="AO240" s="41"/>
    </row>
    <row r="241" spans="9:41" s="30" customFormat="1">
      <c r="I241" s="69"/>
      <c r="K241" s="44"/>
      <c r="S241" s="41"/>
      <c r="T241" s="53"/>
      <c r="V241" s="53"/>
      <c r="W241" s="53"/>
      <c r="X241" s="53"/>
      <c r="AA241" s="58"/>
      <c r="AB241" s="58"/>
      <c r="AC241" s="41"/>
      <c r="AD241" s="41"/>
      <c r="AE241" s="41"/>
      <c r="AF241" s="41"/>
      <c r="AG241" s="41"/>
      <c r="AH241" s="53"/>
      <c r="AI241" s="53"/>
      <c r="AJ241" s="53"/>
      <c r="AK241" s="53"/>
      <c r="AL241" s="41"/>
      <c r="AM241" s="41"/>
      <c r="AN241" s="41"/>
      <c r="AO241" s="41"/>
    </row>
    <row r="242" spans="9:41" s="30" customFormat="1">
      <c r="I242" s="69"/>
      <c r="K242" s="44"/>
      <c r="S242" s="41"/>
      <c r="T242" s="53"/>
      <c r="V242" s="53"/>
      <c r="W242" s="53"/>
      <c r="X242" s="53"/>
      <c r="AA242" s="58"/>
      <c r="AB242" s="58"/>
      <c r="AC242" s="41"/>
      <c r="AD242" s="41"/>
      <c r="AE242" s="41"/>
      <c r="AF242" s="41"/>
      <c r="AG242" s="41"/>
      <c r="AH242" s="53"/>
      <c r="AI242" s="53"/>
      <c r="AJ242" s="53"/>
      <c r="AK242" s="53"/>
      <c r="AL242" s="41"/>
      <c r="AM242" s="41"/>
      <c r="AN242" s="41"/>
      <c r="AO242" s="41"/>
    </row>
    <row r="243" spans="9:41" s="30" customFormat="1">
      <c r="I243" s="69"/>
      <c r="K243" s="44"/>
      <c r="S243" s="41"/>
      <c r="T243" s="53"/>
      <c r="V243" s="53"/>
      <c r="W243" s="53"/>
      <c r="X243" s="53"/>
      <c r="AA243" s="58"/>
      <c r="AB243" s="58"/>
      <c r="AC243" s="41"/>
      <c r="AD243" s="41"/>
      <c r="AE243" s="41"/>
      <c r="AF243" s="41"/>
      <c r="AG243" s="41"/>
      <c r="AH243" s="53"/>
      <c r="AI243" s="53"/>
      <c r="AJ243" s="53"/>
      <c r="AK243" s="53"/>
      <c r="AL243" s="41"/>
      <c r="AM243" s="41"/>
      <c r="AN243" s="41"/>
      <c r="AO243" s="41"/>
    </row>
    <row r="244" spans="9:41" s="30" customFormat="1">
      <c r="I244" s="69"/>
      <c r="K244" s="44"/>
      <c r="S244" s="41"/>
      <c r="T244" s="53"/>
      <c r="V244" s="53"/>
      <c r="W244" s="53"/>
      <c r="X244" s="53"/>
      <c r="AA244" s="58"/>
      <c r="AB244" s="58"/>
      <c r="AC244" s="41"/>
      <c r="AD244" s="41"/>
      <c r="AE244" s="41"/>
      <c r="AF244" s="41"/>
      <c r="AG244" s="41"/>
      <c r="AH244" s="53"/>
      <c r="AI244" s="53"/>
      <c r="AJ244" s="53"/>
      <c r="AK244" s="53"/>
      <c r="AL244" s="41"/>
      <c r="AM244" s="41"/>
      <c r="AN244" s="41"/>
      <c r="AO244" s="41"/>
    </row>
    <row r="245" spans="9:41" s="30" customFormat="1">
      <c r="I245" s="69"/>
      <c r="K245" s="44"/>
      <c r="S245" s="41"/>
      <c r="T245" s="53"/>
      <c r="V245" s="53"/>
      <c r="W245" s="53"/>
      <c r="X245" s="53"/>
      <c r="AA245" s="58"/>
      <c r="AB245" s="58"/>
      <c r="AC245" s="41"/>
      <c r="AD245" s="41"/>
      <c r="AE245" s="41"/>
      <c r="AF245" s="41"/>
      <c r="AG245" s="41"/>
      <c r="AH245" s="53"/>
      <c r="AI245" s="53"/>
      <c r="AJ245" s="53"/>
      <c r="AK245" s="53"/>
      <c r="AL245" s="41"/>
      <c r="AM245" s="41"/>
      <c r="AN245" s="41"/>
      <c r="AO245" s="41"/>
    </row>
    <row r="246" spans="9:41" s="30" customFormat="1">
      <c r="I246" s="69"/>
      <c r="K246" s="44"/>
      <c r="S246" s="41"/>
      <c r="T246" s="53"/>
      <c r="V246" s="53"/>
      <c r="W246" s="53"/>
      <c r="X246" s="53"/>
      <c r="AA246" s="58"/>
      <c r="AB246" s="58"/>
      <c r="AC246" s="41"/>
      <c r="AD246" s="41"/>
      <c r="AE246" s="41"/>
      <c r="AF246" s="41"/>
      <c r="AG246" s="41"/>
      <c r="AH246" s="53"/>
      <c r="AI246" s="53"/>
      <c r="AJ246" s="53"/>
      <c r="AK246" s="53"/>
      <c r="AL246" s="41"/>
      <c r="AM246" s="41"/>
      <c r="AN246" s="41"/>
      <c r="AO246" s="41"/>
    </row>
    <row r="247" spans="9:41" s="30" customFormat="1">
      <c r="I247" s="69"/>
      <c r="K247" s="44"/>
      <c r="S247" s="41"/>
      <c r="T247" s="53"/>
      <c r="V247" s="53"/>
      <c r="W247" s="53"/>
      <c r="X247" s="53"/>
      <c r="AA247" s="58"/>
      <c r="AB247" s="58"/>
      <c r="AC247" s="41"/>
      <c r="AD247" s="41"/>
      <c r="AE247" s="41"/>
      <c r="AF247" s="41"/>
      <c r="AG247" s="41"/>
      <c r="AH247" s="53"/>
      <c r="AI247" s="53"/>
      <c r="AJ247" s="53"/>
      <c r="AK247" s="53"/>
      <c r="AL247" s="41"/>
      <c r="AM247" s="41"/>
      <c r="AN247" s="41"/>
      <c r="AO247" s="41"/>
    </row>
    <row r="248" spans="9:41" s="30" customFormat="1">
      <c r="I248" s="69"/>
      <c r="K248" s="44"/>
      <c r="S248" s="41"/>
      <c r="T248" s="53"/>
      <c r="V248" s="53"/>
      <c r="W248" s="53"/>
      <c r="X248" s="53"/>
      <c r="AA248" s="58"/>
      <c r="AB248" s="58"/>
      <c r="AC248" s="41"/>
      <c r="AD248" s="41"/>
      <c r="AE248" s="41"/>
      <c r="AF248" s="41"/>
      <c r="AG248" s="41"/>
      <c r="AH248" s="53"/>
      <c r="AI248" s="53"/>
      <c r="AJ248" s="53"/>
      <c r="AK248" s="53"/>
      <c r="AL248" s="41"/>
      <c r="AM248" s="41"/>
      <c r="AN248" s="41"/>
      <c r="AO248" s="41"/>
    </row>
    <row r="249" spans="9:41" s="30" customFormat="1">
      <c r="I249" s="69"/>
      <c r="K249" s="44"/>
      <c r="S249" s="41"/>
      <c r="T249" s="53"/>
      <c r="V249" s="53"/>
      <c r="W249" s="53"/>
      <c r="X249" s="53"/>
      <c r="AA249" s="58"/>
      <c r="AB249" s="58"/>
      <c r="AC249" s="41"/>
      <c r="AD249" s="41"/>
      <c r="AE249" s="41"/>
      <c r="AF249" s="41"/>
      <c r="AG249" s="41"/>
      <c r="AH249" s="53"/>
      <c r="AI249" s="53"/>
      <c r="AJ249" s="53"/>
      <c r="AK249" s="53"/>
      <c r="AL249" s="41"/>
      <c r="AM249" s="41"/>
      <c r="AN249" s="41"/>
      <c r="AO249" s="41"/>
    </row>
    <row r="250" spans="9:41" s="30" customFormat="1">
      <c r="I250" s="69"/>
      <c r="K250" s="44"/>
      <c r="S250" s="41"/>
      <c r="T250" s="53"/>
      <c r="V250" s="53"/>
      <c r="W250" s="53"/>
      <c r="X250" s="53"/>
      <c r="AA250" s="58"/>
      <c r="AB250" s="58"/>
      <c r="AC250" s="41"/>
      <c r="AD250" s="41"/>
      <c r="AE250" s="41"/>
      <c r="AF250" s="41"/>
      <c r="AG250" s="41"/>
      <c r="AH250" s="53"/>
      <c r="AI250" s="53"/>
      <c r="AJ250" s="53"/>
      <c r="AK250" s="53"/>
      <c r="AL250" s="41"/>
      <c r="AM250" s="41"/>
      <c r="AN250" s="41"/>
      <c r="AO250" s="41"/>
    </row>
    <row r="251" spans="9:41" s="30" customFormat="1">
      <c r="I251" s="69"/>
      <c r="K251" s="44"/>
      <c r="S251" s="41"/>
      <c r="T251" s="53"/>
      <c r="V251" s="53"/>
      <c r="W251" s="53"/>
      <c r="X251" s="53"/>
      <c r="AA251" s="58"/>
      <c r="AB251" s="58"/>
      <c r="AC251" s="41"/>
      <c r="AD251" s="41"/>
      <c r="AE251" s="41"/>
      <c r="AF251" s="41"/>
      <c r="AG251" s="41"/>
      <c r="AH251" s="53"/>
      <c r="AI251" s="53"/>
      <c r="AJ251" s="53"/>
      <c r="AK251" s="53"/>
      <c r="AL251" s="41"/>
      <c r="AM251" s="41"/>
      <c r="AN251" s="41"/>
      <c r="AO251" s="41"/>
    </row>
    <row r="252" spans="9:41" s="30" customFormat="1">
      <c r="I252" s="69"/>
      <c r="K252" s="44"/>
      <c r="S252" s="41"/>
      <c r="T252" s="53"/>
      <c r="V252" s="53"/>
      <c r="W252" s="53"/>
      <c r="X252" s="53"/>
      <c r="AA252" s="58"/>
      <c r="AB252" s="58"/>
      <c r="AC252" s="41"/>
      <c r="AD252" s="41"/>
      <c r="AE252" s="41"/>
      <c r="AF252" s="41"/>
      <c r="AG252" s="41"/>
      <c r="AH252" s="53"/>
      <c r="AI252" s="53"/>
      <c r="AJ252" s="53"/>
      <c r="AK252" s="53"/>
      <c r="AL252" s="41"/>
      <c r="AM252" s="41"/>
      <c r="AN252" s="41"/>
      <c r="AO252" s="41"/>
    </row>
    <row r="253" spans="9:41" s="30" customFormat="1">
      <c r="I253" s="69"/>
      <c r="K253" s="44"/>
      <c r="S253" s="41"/>
      <c r="T253" s="53"/>
      <c r="V253" s="53"/>
      <c r="W253" s="53"/>
      <c r="X253" s="53"/>
      <c r="AA253" s="58"/>
      <c r="AB253" s="58"/>
      <c r="AC253" s="41"/>
      <c r="AD253" s="41"/>
      <c r="AE253" s="41"/>
      <c r="AF253" s="41"/>
      <c r="AG253" s="41"/>
      <c r="AH253" s="53"/>
      <c r="AI253" s="53"/>
      <c r="AJ253" s="53"/>
      <c r="AK253" s="53"/>
      <c r="AL253" s="41"/>
      <c r="AM253" s="41"/>
      <c r="AN253" s="41"/>
      <c r="AO253" s="41"/>
    </row>
    <row r="254" spans="9:41" s="30" customFormat="1">
      <c r="I254" s="69"/>
      <c r="K254" s="44"/>
      <c r="S254" s="41"/>
      <c r="T254" s="53"/>
      <c r="V254" s="53"/>
      <c r="W254" s="53"/>
      <c r="X254" s="53"/>
      <c r="AA254" s="58"/>
      <c r="AB254" s="58"/>
      <c r="AC254" s="41"/>
      <c r="AD254" s="41"/>
      <c r="AE254" s="41"/>
      <c r="AF254" s="41"/>
      <c r="AG254" s="41"/>
      <c r="AH254" s="53"/>
      <c r="AI254" s="53"/>
      <c r="AJ254" s="53"/>
      <c r="AK254" s="53"/>
      <c r="AL254" s="41"/>
      <c r="AM254" s="41"/>
      <c r="AN254" s="41"/>
      <c r="AO254" s="41"/>
    </row>
    <row r="255" spans="9:41" s="30" customFormat="1">
      <c r="I255" s="69"/>
      <c r="K255" s="44"/>
      <c r="S255" s="41"/>
      <c r="T255" s="53"/>
      <c r="V255" s="53"/>
      <c r="W255" s="53"/>
      <c r="X255" s="53"/>
      <c r="AA255" s="58"/>
      <c r="AB255" s="58"/>
      <c r="AC255" s="41"/>
      <c r="AD255" s="41"/>
      <c r="AE255" s="41"/>
      <c r="AF255" s="41"/>
      <c r="AG255" s="41"/>
      <c r="AH255" s="53"/>
      <c r="AI255" s="53"/>
      <c r="AJ255" s="53"/>
      <c r="AK255" s="53"/>
      <c r="AL255" s="41"/>
      <c r="AM255" s="41"/>
      <c r="AN255" s="41"/>
      <c r="AO255" s="41"/>
    </row>
    <row r="256" spans="9:41" s="30" customFormat="1">
      <c r="I256" s="69"/>
      <c r="K256" s="44"/>
      <c r="S256" s="41"/>
      <c r="T256" s="53"/>
      <c r="V256" s="53"/>
      <c r="W256" s="53"/>
      <c r="X256" s="53"/>
      <c r="AA256" s="58"/>
      <c r="AB256" s="58"/>
      <c r="AC256" s="41"/>
      <c r="AD256" s="41"/>
      <c r="AE256" s="41"/>
      <c r="AF256" s="41"/>
      <c r="AG256" s="41"/>
      <c r="AH256" s="53"/>
      <c r="AI256" s="53"/>
      <c r="AJ256" s="53"/>
      <c r="AK256" s="53"/>
      <c r="AL256" s="41"/>
      <c r="AM256" s="41"/>
      <c r="AN256" s="41"/>
      <c r="AO256" s="41"/>
    </row>
    <row r="257" spans="9:41" s="30" customFormat="1">
      <c r="I257" s="69"/>
      <c r="K257" s="44"/>
      <c r="S257" s="41"/>
      <c r="T257" s="53"/>
      <c r="V257" s="53"/>
      <c r="W257" s="53"/>
      <c r="X257" s="53"/>
      <c r="AA257" s="58"/>
      <c r="AB257" s="58"/>
      <c r="AC257" s="41"/>
      <c r="AD257" s="41"/>
      <c r="AE257" s="41"/>
      <c r="AF257" s="41"/>
      <c r="AG257" s="41"/>
      <c r="AH257" s="53"/>
      <c r="AI257" s="53"/>
      <c r="AJ257" s="53"/>
      <c r="AK257" s="53"/>
      <c r="AL257" s="41"/>
      <c r="AM257" s="41"/>
      <c r="AN257" s="41"/>
      <c r="AO257" s="41"/>
    </row>
    <row r="258" spans="9:41" s="30" customFormat="1">
      <c r="I258" s="69"/>
      <c r="K258" s="44"/>
      <c r="S258" s="41"/>
      <c r="T258" s="53"/>
      <c r="V258" s="53"/>
      <c r="W258" s="53"/>
      <c r="X258" s="53"/>
      <c r="AA258" s="58"/>
      <c r="AB258" s="58"/>
      <c r="AC258" s="41"/>
      <c r="AD258" s="41"/>
      <c r="AE258" s="41"/>
      <c r="AF258" s="41"/>
      <c r="AG258" s="41"/>
      <c r="AH258" s="53"/>
      <c r="AI258" s="53"/>
      <c r="AJ258" s="53"/>
      <c r="AK258" s="53"/>
      <c r="AL258" s="41"/>
      <c r="AM258" s="41"/>
      <c r="AN258" s="41"/>
      <c r="AO258" s="41"/>
    </row>
    <row r="259" spans="9:41" s="30" customFormat="1">
      <c r="I259" s="69"/>
      <c r="K259" s="44"/>
      <c r="S259" s="41"/>
      <c r="T259" s="53"/>
      <c r="V259" s="53"/>
      <c r="W259" s="53"/>
      <c r="X259" s="53"/>
      <c r="AA259" s="58"/>
      <c r="AB259" s="58"/>
      <c r="AC259" s="41"/>
      <c r="AD259" s="41"/>
      <c r="AE259" s="41"/>
      <c r="AF259" s="41"/>
      <c r="AG259" s="41"/>
      <c r="AH259" s="53"/>
      <c r="AI259" s="53"/>
      <c r="AJ259" s="53"/>
      <c r="AK259" s="53"/>
      <c r="AL259" s="41"/>
      <c r="AM259" s="41"/>
      <c r="AN259" s="41"/>
      <c r="AO259" s="41"/>
    </row>
    <row r="260" spans="9:41" s="30" customFormat="1">
      <c r="I260" s="69"/>
      <c r="K260" s="44"/>
      <c r="S260" s="41"/>
      <c r="T260" s="53"/>
      <c r="V260" s="53"/>
      <c r="W260" s="53"/>
      <c r="X260" s="53"/>
      <c r="AA260" s="58"/>
      <c r="AB260" s="58"/>
      <c r="AC260" s="41"/>
      <c r="AD260" s="41"/>
      <c r="AE260" s="41"/>
      <c r="AF260" s="41"/>
      <c r="AG260" s="41"/>
      <c r="AH260" s="53"/>
      <c r="AI260" s="53"/>
      <c r="AJ260" s="53"/>
      <c r="AK260" s="53"/>
      <c r="AL260" s="41"/>
      <c r="AM260" s="41"/>
      <c r="AN260" s="41"/>
      <c r="AO260" s="41"/>
    </row>
    <row r="261" spans="9:41" s="30" customFormat="1">
      <c r="I261" s="69"/>
      <c r="K261" s="44"/>
      <c r="S261" s="41"/>
      <c r="T261" s="53"/>
      <c r="V261" s="53"/>
      <c r="W261" s="53"/>
      <c r="X261" s="53"/>
      <c r="AA261" s="58"/>
      <c r="AB261" s="58"/>
      <c r="AC261" s="41"/>
      <c r="AD261" s="41"/>
      <c r="AE261" s="41"/>
      <c r="AF261" s="41"/>
      <c r="AG261" s="41"/>
      <c r="AH261" s="53"/>
      <c r="AI261" s="53"/>
      <c r="AJ261" s="53"/>
      <c r="AK261" s="53"/>
      <c r="AL261" s="41"/>
      <c r="AM261" s="41"/>
      <c r="AN261" s="41"/>
      <c r="AO261" s="41"/>
    </row>
    <row r="262" spans="9:41" s="30" customFormat="1">
      <c r="I262" s="69"/>
      <c r="K262" s="44"/>
      <c r="S262" s="41"/>
      <c r="T262" s="53"/>
      <c r="V262" s="53"/>
      <c r="W262" s="53"/>
      <c r="X262" s="53"/>
      <c r="AA262" s="58"/>
      <c r="AB262" s="58"/>
      <c r="AC262" s="41"/>
      <c r="AD262" s="41"/>
      <c r="AE262" s="41"/>
      <c r="AF262" s="41"/>
      <c r="AG262" s="41"/>
      <c r="AH262" s="53"/>
      <c r="AI262" s="53"/>
      <c r="AJ262" s="53"/>
      <c r="AK262" s="53"/>
      <c r="AL262" s="41"/>
      <c r="AM262" s="41"/>
      <c r="AN262" s="41"/>
      <c r="AO262" s="41"/>
    </row>
    <row r="263" spans="9:41" s="30" customFormat="1">
      <c r="I263" s="69"/>
      <c r="K263" s="44"/>
      <c r="S263" s="41"/>
      <c r="T263" s="53"/>
      <c r="V263" s="53"/>
      <c r="W263" s="53"/>
      <c r="X263" s="53"/>
      <c r="AA263" s="58"/>
      <c r="AB263" s="58"/>
      <c r="AC263" s="41"/>
      <c r="AD263" s="41"/>
      <c r="AE263" s="41"/>
      <c r="AF263" s="41"/>
      <c r="AG263" s="41"/>
      <c r="AH263" s="53"/>
      <c r="AI263" s="53"/>
      <c r="AJ263" s="53"/>
      <c r="AK263" s="53"/>
      <c r="AL263" s="41"/>
      <c r="AM263" s="41"/>
      <c r="AN263" s="41"/>
      <c r="AO263" s="41"/>
    </row>
    <row r="264" spans="9:41" s="30" customFormat="1">
      <c r="I264" s="69"/>
      <c r="K264" s="44"/>
      <c r="S264" s="41"/>
      <c r="T264" s="53"/>
      <c r="V264" s="53"/>
      <c r="W264" s="53"/>
      <c r="X264" s="53"/>
      <c r="AA264" s="58"/>
      <c r="AB264" s="58"/>
      <c r="AC264" s="41"/>
      <c r="AD264" s="41"/>
      <c r="AE264" s="41"/>
      <c r="AF264" s="41"/>
      <c r="AG264" s="41"/>
      <c r="AH264" s="53"/>
      <c r="AI264" s="53"/>
      <c r="AJ264" s="53"/>
      <c r="AK264" s="53"/>
      <c r="AL264" s="41"/>
      <c r="AM264" s="41"/>
      <c r="AN264" s="41"/>
      <c r="AO264" s="41"/>
    </row>
    <row r="265" spans="9:41" s="30" customFormat="1">
      <c r="I265" s="69"/>
      <c r="K265" s="44"/>
      <c r="S265" s="41"/>
      <c r="T265" s="53"/>
      <c r="V265" s="53"/>
      <c r="W265" s="53"/>
      <c r="X265" s="53"/>
      <c r="AA265" s="58"/>
      <c r="AB265" s="58"/>
      <c r="AC265" s="41"/>
      <c r="AD265" s="41"/>
      <c r="AE265" s="41"/>
      <c r="AF265" s="41"/>
      <c r="AG265" s="41"/>
      <c r="AH265" s="53"/>
      <c r="AI265" s="53"/>
      <c r="AJ265" s="53"/>
      <c r="AK265" s="53"/>
      <c r="AL265" s="41"/>
      <c r="AM265" s="41"/>
      <c r="AN265" s="41"/>
      <c r="AO265" s="41"/>
    </row>
    <row r="266" spans="9:41" s="30" customFormat="1">
      <c r="I266" s="69"/>
      <c r="K266" s="44"/>
      <c r="S266" s="41"/>
      <c r="T266" s="53"/>
      <c r="V266" s="53"/>
      <c r="W266" s="53"/>
      <c r="X266" s="53"/>
      <c r="AA266" s="58"/>
      <c r="AB266" s="58"/>
      <c r="AC266" s="41"/>
      <c r="AD266" s="41"/>
      <c r="AE266" s="41"/>
      <c r="AF266" s="41"/>
      <c r="AG266" s="41"/>
      <c r="AH266" s="53"/>
      <c r="AI266" s="53"/>
      <c r="AJ266" s="53"/>
      <c r="AK266" s="53"/>
      <c r="AL266" s="41"/>
      <c r="AM266" s="41"/>
      <c r="AN266" s="41"/>
      <c r="AO266" s="41"/>
    </row>
    <row r="267" spans="9:41" s="30" customFormat="1">
      <c r="I267" s="69"/>
      <c r="K267" s="44"/>
      <c r="S267" s="41"/>
      <c r="T267" s="53"/>
      <c r="V267" s="53"/>
      <c r="W267" s="53"/>
      <c r="X267" s="53"/>
      <c r="AA267" s="58"/>
      <c r="AB267" s="58"/>
      <c r="AC267" s="41"/>
      <c r="AD267" s="41"/>
      <c r="AE267" s="41"/>
      <c r="AF267" s="41"/>
      <c r="AG267" s="41"/>
      <c r="AH267" s="53"/>
      <c r="AI267" s="53"/>
      <c r="AJ267" s="53"/>
      <c r="AK267" s="53"/>
      <c r="AL267" s="41"/>
      <c r="AM267" s="41"/>
      <c r="AN267" s="41"/>
      <c r="AO267" s="41"/>
    </row>
    <row r="268" spans="9:41" s="30" customFormat="1">
      <c r="I268" s="69"/>
      <c r="K268" s="44"/>
      <c r="S268" s="41"/>
      <c r="T268" s="53"/>
      <c r="V268" s="53"/>
      <c r="W268" s="53"/>
      <c r="X268" s="53"/>
      <c r="AA268" s="58"/>
      <c r="AB268" s="58"/>
      <c r="AC268" s="41"/>
      <c r="AD268" s="41"/>
      <c r="AE268" s="41"/>
      <c r="AF268" s="41"/>
      <c r="AG268" s="41"/>
      <c r="AH268" s="53"/>
      <c r="AI268" s="53"/>
      <c r="AJ268" s="53"/>
      <c r="AK268" s="53"/>
      <c r="AL268" s="41"/>
      <c r="AM268" s="41"/>
      <c r="AN268" s="41"/>
      <c r="AO268" s="41"/>
    </row>
    <row r="269" spans="9:41" s="30" customFormat="1">
      <c r="I269" s="69"/>
      <c r="K269" s="44"/>
      <c r="S269" s="41"/>
      <c r="T269" s="53"/>
      <c r="V269" s="53"/>
      <c r="W269" s="53"/>
      <c r="X269" s="53"/>
      <c r="AA269" s="58"/>
      <c r="AB269" s="58"/>
      <c r="AC269" s="41"/>
      <c r="AD269" s="41"/>
      <c r="AE269" s="41"/>
      <c r="AF269" s="41"/>
      <c r="AG269" s="41"/>
      <c r="AH269" s="53"/>
      <c r="AI269" s="53"/>
      <c r="AJ269" s="53"/>
      <c r="AK269" s="53"/>
      <c r="AL269" s="41"/>
      <c r="AM269" s="41"/>
      <c r="AN269" s="41"/>
      <c r="AO269" s="41"/>
    </row>
    <row r="270" spans="9:41" s="30" customFormat="1">
      <c r="I270" s="69"/>
      <c r="K270" s="44"/>
      <c r="S270" s="41"/>
      <c r="T270" s="53"/>
      <c r="V270" s="53"/>
      <c r="W270" s="53"/>
      <c r="X270" s="53"/>
      <c r="AA270" s="58"/>
      <c r="AB270" s="58"/>
      <c r="AC270" s="41"/>
      <c r="AD270" s="41"/>
      <c r="AE270" s="41"/>
      <c r="AF270" s="41"/>
      <c r="AG270" s="41"/>
      <c r="AH270" s="53"/>
      <c r="AI270" s="53"/>
      <c r="AJ270" s="53"/>
      <c r="AK270" s="53"/>
      <c r="AL270" s="41"/>
      <c r="AM270" s="41"/>
      <c r="AN270" s="41"/>
      <c r="AO270" s="41"/>
    </row>
    <row r="271" spans="9:41" s="30" customFormat="1">
      <c r="I271" s="69"/>
      <c r="K271" s="44"/>
      <c r="S271" s="41"/>
      <c r="T271" s="53"/>
      <c r="V271" s="53"/>
      <c r="W271" s="53"/>
      <c r="X271" s="53"/>
      <c r="AA271" s="58"/>
      <c r="AB271" s="58"/>
      <c r="AC271" s="41"/>
      <c r="AD271" s="41"/>
      <c r="AE271" s="41"/>
      <c r="AF271" s="41"/>
      <c r="AG271" s="41"/>
      <c r="AH271" s="53"/>
      <c r="AI271" s="53"/>
      <c r="AJ271" s="53"/>
      <c r="AK271" s="53"/>
      <c r="AL271" s="41"/>
      <c r="AM271" s="41"/>
      <c r="AN271" s="41"/>
      <c r="AO271" s="41"/>
    </row>
    <row r="272" spans="9:41" s="30" customFormat="1">
      <c r="I272" s="69"/>
      <c r="K272" s="44"/>
      <c r="S272" s="41"/>
      <c r="T272" s="53"/>
      <c r="V272" s="53"/>
      <c r="W272" s="53"/>
      <c r="X272" s="53"/>
      <c r="AA272" s="58"/>
      <c r="AB272" s="58"/>
      <c r="AC272" s="41"/>
      <c r="AD272" s="41"/>
      <c r="AE272" s="41"/>
      <c r="AF272" s="41"/>
      <c r="AG272" s="41"/>
      <c r="AH272" s="53"/>
      <c r="AI272" s="53"/>
      <c r="AJ272" s="53"/>
      <c r="AK272" s="53"/>
      <c r="AL272" s="41"/>
      <c r="AM272" s="41"/>
      <c r="AN272" s="41"/>
      <c r="AO272" s="41"/>
    </row>
    <row r="273" spans="9:41" s="30" customFormat="1">
      <c r="I273" s="69"/>
      <c r="K273" s="44"/>
      <c r="S273" s="41"/>
      <c r="T273" s="53"/>
      <c r="V273" s="53"/>
      <c r="W273" s="53"/>
      <c r="X273" s="53"/>
      <c r="AA273" s="58"/>
      <c r="AB273" s="58"/>
      <c r="AC273" s="41"/>
      <c r="AD273" s="41"/>
      <c r="AE273" s="41"/>
      <c r="AF273" s="41"/>
      <c r="AG273" s="41"/>
      <c r="AH273" s="53"/>
      <c r="AI273" s="53"/>
      <c r="AJ273" s="53"/>
      <c r="AK273" s="53"/>
      <c r="AL273" s="41"/>
      <c r="AM273" s="41"/>
      <c r="AN273" s="41"/>
      <c r="AO273" s="41"/>
    </row>
    <row r="274" spans="9:41" s="30" customFormat="1">
      <c r="I274" s="69"/>
      <c r="K274" s="44"/>
      <c r="S274" s="41"/>
      <c r="T274" s="53"/>
      <c r="V274" s="53"/>
      <c r="W274" s="53"/>
      <c r="X274" s="53"/>
      <c r="AA274" s="58"/>
      <c r="AB274" s="58"/>
      <c r="AC274" s="41"/>
      <c r="AD274" s="41"/>
      <c r="AE274" s="41"/>
      <c r="AF274" s="41"/>
      <c r="AG274" s="41"/>
      <c r="AH274" s="53"/>
      <c r="AI274" s="53"/>
      <c r="AJ274" s="53"/>
      <c r="AK274" s="53"/>
      <c r="AL274" s="41"/>
      <c r="AM274" s="41"/>
      <c r="AN274" s="41"/>
      <c r="AO274" s="41"/>
    </row>
    <row r="275" spans="9:41" s="30" customFormat="1">
      <c r="I275" s="69"/>
      <c r="K275" s="44"/>
      <c r="S275" s="41"/>
      <c r="T275" s="53"/>
      <c r="V275" s="53"/>
      <c r="W275" s="53"/>
      <c r="X275" s="53"/>
      <c r="AA275" s="58"/>
      <c r="AB275" s="58"/>
      <c r="AC275" s="41"/>
      <c r="AD275" s="41"/>
      <c r="AE275" s="41"/>
      <c r="AF275" s="41"/>
      <c r="AG275" s="41"/>
      <c r="AH275" s="53"/>
      <c r="AI275" s="53"/>
      <c r="AJ275" s="53"/>
      <c r="AK275" s="53"/>
      <c r="AL275" s="41"/>
      <c r="AM275" s="41"/>
      <c r="AN275" s="41"/>
      <c r="AO275" s="41"/>
    </row>
    <row r="276" spans="9:41" s="30" customFormat="1">
      <c r="I276" s="69"/>
      <c r="K276" s="44"/>
      <c r="S276" s="41"/>
      <c r="T276" s="53"/>
      <c r="V276" s="53"/>
      <c r="W276" s="53"/>
      <c r="X276" s="53"/>
      <c r="AA276" s="58"/>
      <c r="AB276" s="58"/>
      <c r="AC276" s="41"/>
      <c r="AD276" s="41"/>
      <c r="AE276" s="41"/>
      <c r="AF276" s="41"/>
      <c r="AG276" s="41"/>
      <c r="AH276" s="53"/>
      <c r="AI276" s="53"/>
      <c r="AJ276" s="53"/>
      <c r="AK276" s="53"/>
      <c r="AL276" s="41"/>
      <c r="AM276" s="41"/>
      <c r="AN276" s="41"/>
      <c r="AO276" s="41"/>
    </row>
    <row r="277" spans="9:41" s="30" customFormat="1">
      <c r="I277" s="69"/>
      <c r="K277" s="44"/>
      <c r="S277" s="41"/>
      <c r="T277" s="53"/>
      <c r="V277" s="53"/>
      <c r="W277" s="53"/>
      <c r="X277" s="53"/>
      <c r="AA277" s="58"/>
      <c r="AB277" s="58"/>
      <c r="AC277" s="41"/>
      <c r="AD277" s="41"/>
      <c r="AE277" s="41"/>
      <c r="AF277" s="41"/>
      <c r="AG277" s="41"/>
      <c r="AH277" s="53"/>
      <c r="AI277" s="53"/>
      <c r="AJ277" s="53"/>
      <c r="AK277" s="53"/>
      <c r="AL277" s="41"/>
      <c r="AM277" s="41"/>
      <c r="AN277" s="41"/>
      <c r="AO277" s="41"/>
    </row>
    <row r="278" spans="9:41" s="30" customFormat="1">
      <c r="I278" s="69"/>
      <c r="K278" s="44"/>
      <c r="S278" s="41"/>
      <c r="T278" s="53"/>
      <c r="V278" s="53"/>
      <c r="W278" s="53"/>
      <c r="X278" s="53"/>
      <c r="AA278" s="58"/>
      <c r="AB278" s="58"/>
      <c r="AC278" s="41"/>
      <c r="AD278" s="41"/>
      <c r="AE278" s="41"/>
      <c r="AF278" s="41"/>
      <c r="AG278" s="41"/>
      <c r="AH278" s="53"/>
      <c r="AI278" s="53"/>
      <c r="AJ278" s="53"/>
      <c r="AK278" s="53"/>
      <c r="AL278" s="41"/>
      <c r="AM278" s="41"/>
      <c r="AN278" s="41"/>
      <c r="AO278" s="41"/>
    </row>
    <row r="279" spans="9:41" s="30" customFormat="1">
      <c r="I279" s="69"/>
      <c r="K279" s="44"/>
      <c r="S279" s="41"/>
      <c r="T279" s="53"/>
      <c r="V279" s="53"/>
      <c r="W279" s="53"/>
      <c r="X279" s="53"/>
      <c r="AA279" s="58"/>
      <c r="AB279" s="58"/>
      <c r="AC279" s="41"/>
      <c r="AD279" s="41"/>
      <c r="AE279" s="41"/>
      <c r="AF279" s="41"/>
      <c r="AG279" s="41"/>
      <c r="AH279" s="53"/>
      <c r="AI279" s="53"/>
      <c r="AJ279" s="53"/>
      <c r="AK279" s="53"/>
      <c r="AL279" s="41"/>
      <c r="AM279" s="41"/>
      <c r="AN279" s="41"/>
      <c r="AO279" s="41"/>
    </row>
    <row r="280" spans="9:41" s="30" customFormat="1">
      <c r="I280" s="69"/>
      <c r="K280" s="44"/>
      <c r="S280" s="41"/>
      <c r="T280" s="53"/>
      <c r="V280" s="53"/>
      <c r="W280" s="53"/>
      <c r="X280" s="53"/>
      <c r="AA280" s="58"/>
      <c r="AB280" s="58"/>
      <c r="AC280" s="41"/>
      <c r="AD280" s="41"/>
      <c r="AE280" s="41"/>
      <c r="AF280" s="41"/>
      <c r="AG280" s="41"/>
      <c r="AH280" s="53"/>
      <c r="AI280" s="53"/>
      <c r="AJ280" s="53"/>
      <c r="AK280" s="53"/>
      <c r="AL280" s="41"/>
      <c r="AM280" s="41"/>
      <c r="AN280" s="41"/>
      <c r="AO280" s="41"/>
    </row>
    <row r="281" spans="9:41" s="30" customFormat="1">
      <c r="I281" s="69"/>
      <c r="K281" s="44"/>
      <c r="S281" s="41"/>
      <c r="T281" s="53"/>
      <c r="V281" s="53"/>
      <c r="W281" s="53"/>
      <c r="X281" s="53"/>
      <c r="AA281" s="58"/>
      <c r="AB281" s="58"/>
      <c r="AC281" s="41"/>
      <c r="AD281" s="41"/>
      <c r="AE281" s="41"/>
      <c r="AF281" s="41"/>
      <c r="AG281" s="41"/>
      <c r="AH281" s="53"/>
      <c r="AI281" s="53"/>
      <c r="AJ281" s="53"/>
      <c r="AK281" s="53"/>
      <c r="AL281" s="41"/>
      <c r="AM281" s="41"/>
      <c r="AN281" s="41"/>
      <c r="AO281" s="41"/>
    </row>
    <row r="282" spans="9:41" s="30" customFormat="1">
      <c r="I282" s="69"/>
      <c r="K282" s="44"/>
      <c r="S282" s="41"/>
      <c r="T282" s="53"/>
      <c r="V282" s="53"/>
      <c r="W282" s="53"/>
      <c r="X282" s="53"/>
      <c r="AA282" s="58"/>
      <c r="AB282" s="58"/>
      <c r="AC282" s="41"/>
      <c r="AD282" s="41"/>
      <c r="AE282" s="41"/>
      <c r="AF282" s="41"/>
      <c r="AG282" s="41"/>
      <c r="AH282" s="53"/>
      <c r="AI282" s="53"/>
      <c r="AJ282" s="53"/>
      <c r="AK282" s="53"/>
      <c r="AL282" s="41"/>
      <c r="AM282" s="41"/>
      <c r="AN282" s="41"/>
      <c r="AO282" s="41"/>
    </row>
    <row r="283" spans="9:41" s="30" customFormat="1">
      <c r="I283" s="69"/>
      <c r="K283" s="44"/>
      <c r="S283" s="41"/>
      <c r="T283" s="53"/>
      <c r="V283" s="53"/>
      <c r="W283" s="53"/>
      <c r="X283" s="53"/>
      <c r="AA283" s="58"/>
      <c r="AB283" s="58"/>
      <c r="AC283" s="41"/>
      <c r="AD283" s="41"/>
      <c r="AE283" s="41"/>
      <c r="AF283" s="41"/>
      <c r="AG283" s="41"/>
      <c r="AH283" s="53"/>
      <c r="AI283" s="53"/>
      <c r="AJ283" s="53"/>
      <c r="AK283" s="53"/>
      <c r="AL283" s="41"/>
      <c r="AM283" s="41"/>
      <c r="AN283" s="41"/>
      <c r="AO283" s="41"/>
    </row>
    <row r="284" spans="9:41" s="30" customFormat="1">
      <c r="I284" s="69"/>
      <c r="K284" s="44"/>
      <c r="S284" s="41"/>
      <c r="T284" s="53"/>
      <c r="V284" s="53"/>
      <c r="W284" s="53"/>
      <c r="X284" s="53"/>
      <c r="AA284" s="58"/>
      <c r="AB284" s="58"/>
      <c r="AC284" s="41"/>
      <c r="AD284" s="41"/>
      <c r="AE284" s="41"/>
      <c r="AF284" s="41"/>
      <c r="AG284" s="41"/>
      <c r="AH284" s="53"/>
      <c r="AI284" s="53"/>
      <c r="AJ284" s="53"/>
      <c r="AK284" s="53"/>
      <c r="AL284" s="41"/>
      <c r="AM284" s="41"/>
      <c r="AN284" s="41"/>
      <c r="AO284" s="41"/>
    </row>
    <row r="285" spans="9:41" s="30" customFormat="1">
      <c r="I285" s="69"/>
      <c r="K285" s="44"/>
      <c r="S285" s="41"/>
      <c r="T285" s="53"/>
      <c r="V285" s="53"/>
      <c r="W285" s="53"/>
      <c r="X285" s="53"/>
      <c r="AA285" s="58"/>
      <c r="AB285" s="58"/>
      <c r="AC285" s="41"/>
      <c r="AD285" s="41"/>
      <c r="AE285" s="41"/>
      <c r="AF285" s="41"/>
      <c r="AG285" s="41"/>
      <c r="AH285" s="53"/>
      <c r="AI285" s="53"/>
      <c r="AJ285" s="53"/>
      <c r="AK285" s="53"/>
      <c r="AL285" s="41"/>
      <c r="AM285" s="41"/>
      <c r="AN285" s="41"/>
      <c r="AO285" s="41"/>
    </row>
    <row r="286" spans="9:41" s="30" customFormat="1">
      <c r="I286" s="69"/>
      <c r="K286" s="44"/>
      <c r="S286" s="41"/>
      <c r="T286" s="53"/>
      <c r="V286" s="53"/>
      <c r="W286" s="53"/>
      <c r="X286" s="53"/>
      <c r="AA286" s="58"/>
      <c r="AB286" s="58"/>
      <c r="AC286" s="41"/>
      <c r="AD286" s="41"/>
      <c r="AE286" s="41"/>
      <c r="AF286" s="41"/>
      <c r="AG286" s="41"/>
      <c r="AH286" s="53"/>
      <c r="AI286" s="53"/>
      <c r="AJ286" s="53"/>
      <c r="AK286" s="53"/>
      <c r="AL286" s="41"/>
      <c r="AM286" s="41"/>
      <c r="AN286" s="41"/>
      <c r="AO286" s="41"/>
    </row>
    <row r="287" spans="9:41" s="30" customFormat="1">
      <c r="I287" s="69"/>
      <c r="K287" s="44"/>
      <c r="S287" s="41"/>
      <c r="T287" s="53"/>
      <c r="V287" s="53"/>
      <c r="W287" s="53"/>
      <c r="X287" s="53"/>
      <c r="AA287" s="58"/>
      <c r="AB287" s="58"/>
      <c r="AC287" s="41"/>
      <c r="AD287" s="41"/>
      <c r="AE287" s="41"/>
      <c r="AF287" s="41"/>
      <c r="AG287" s="41"/>
      <c r="AH287" s="53"/>
      <c r="AI287" s="53"/>
      <c r="AJ287" s="53"/>
      <c r="AK287" s="53"/>
      <c r="AL287" s="41"/>
      <c r="AM287" s="41"/>
      <c r="AN287" s="41"/>
      <c r="AO287" s="41"/>
    </row>
    <row r="288" spans="9:41" s="30" customFormat="1">
      <c r="I288" s="69"/>
      <c r="K288" s="44"/>
      <c r="S288" s="41"/>
      <c r="T288" s="53"/>
      <c r="V288" s="53"/>
      <c r="W288" s="53"/>
      <c r="X288" s="53"/>
      <c r="AA288" s="58"/>
      <c r="AB288" s="58"/>
      <c r="AC288" s="41"/>
      <c r="AD288" s="41"/>
      <c r="AE288" s="41"/>
      <c r="AF288" s="41"/>
      <c r="AG288" s="41"/>
      <c r="AH288" s="53"/>
      <c r="AI288" s="53"/>
      <c r="AJ288" s="53"/>
      <c r="AK288" s="53"/>
      <c r="AL288" s="41"/>
      <c r="AM288" s="41"/>
      <c r="AN288" s="41"/>
      <c r="AO288" s="41"/>
    </row>
    <row r="289" spans="9:41" s="30" customFormat="1">
      <c r="I289" s="69"/>
      <c r="K289" s="44"/>
      <c r="S289" s="41"/>
      <c r="T289" s="53"/>
      <c r="V289" s="53"/>
      <c r="W289" s="53"/>
      <c r="X289" s="53"/>
      <c r="AA289" s="58"/>
      <c r="AB289" s="58"/>
      <c r="AC289" s="41"/>
      <c r="AD289" s="41"/>
      <c r="AE289" s="41"/>
      <c r="AF289" s="41"/>
      <c r="AG289" s="41"/>
      <c r="AH289" s="53"/>
      <c r="AI289" s="53"/>
      <c r="AJ289" s="53"/>
      <c r="AK289" s="53"/>
      <c r="AL289" s="41"/>
      <c r="AM289" s="41"/>
      <c r="AN289" s="41"/>
      <c r="AO289" s="41"/>
    </row>
    <row r="290" spans="9:41" s="30" customFormat="1">
      <c r="I290" s="69"/>
      <c r="K290" s="44"/>
      <c r="S290" s="41"/>
      <c r="T290" s="53"/>
      <c r="V290" s="53"/>
      <c r="W290" s="53"/>
      <c r="X290" s="53"/>
      <c r="AA290" s="58"/>
      <c r="AB290" s="58"/>
      <c r="AC290" s="41"/>
      <c r="AD290" s="41"/>
      <c r="AE290" s="41"/>
      <c r="AF290" s="41"/>
      <c r="AG290" s="41"/>
      <c r="AH290" s="53"/>
      <c r="AI290" s="53"/>
      <c r="AJ290" s="53"/>
      <c r="AK290" s="53"/>
      <c r="AL290" s="41"/>
      <c r="AM290" s="41"/>
      <c r="AN290" s="41"/>
      <c r="AO290" s="41"/>
    </row>
    <row r="291" spans="9:41" s="30" customFormat="1">
      <c r="I291" s="69"/>
      <c r="K291" s="44"/>
      <c r="S291" s="41"/>
      <c r="T291" s="53"/>
      <c r="V291" s="53"/>
      <c r="W291" s="53"/>
      <c r="X291" s="53"/>
      <c r="AA291" s="58"/>
      <c r="AB291" s="58"/>
      <c r="AC291" s="41"/>
      <c r="AD291" s="41"/>
      <c r="AE291" s="41"/>
      <c r="AF291" s="41"/>
      <c r="AG291" s="41"/>
      <c r="AH291" s="53"/>
      <c r="AI291" s="53"/>
      <c r="AJ291" s="53"/>
      <c r="AK291" s="53"/>
      <c r="AL291" s="41"/>
      <c r="AM291" s="41"/>
      <c r="AN291" s="41"/>
      <c r="AO291" s="41"/>
    </row>
    <row r="292" spans="9:41" s="30" customFormat="1">
      <c r="I292" s="69"/>
      <c r="K292" s="44"/>
      <c r="S292" s="41"/>
      <c r="T292" s="53"/>
      <c r="V292" s="53"/>
      <c r="W292" s="53"/>
      <c r="X292" s="53"/>
      <c r="AA292" s="58"/>
      <c r="AB292" s="58"/>
      <c r="AC292" s="41"/>
      <c r="AD292" s="41"/>
      <c r="AE292" s="41"/>
      <c r="AF292" s="41"/>
      <c r="AG292" s="41"/>
      <c r="AH292" s="53"/>
      <c r="AI292" s="53"/>
      <c r="AJ292" s="53"/>
      <c r="AK292" s="53"/>
      <c r="AL292" s="41"/>
      <c r="AM292" s="41"/>
      <c r="AN292" s="41"/>
      <c r="AO292" s="41"/>
    </row>
    <row r="293" spans="9:41" s="30" customFormat="1">
      <c r="I293" s="69"/>
      <c r="K293" s="44"/>
      <c r="S293" s="41"/>
      <c r="T293" s="53"/>
      <c r="V293" s="53"/>
      <c r="W293" s="53"/>
      <c r="X293" s="53"/>
      <c r="AA293" s="58"/>
      <c r="AB293" s="58"/>
      <c r="AC293" s="41"/>
      <c r="AD293" s="41"/>
      <c r="AE293" s="41"/>
      <c r="AF293" s="41"/>
      <c r="AG293" s="41"/>
      <c r="AH293" s="53"/>
      <c r="AI293" s="53"/>
      <c r="AJ293" s="53"/>
      <c r="AK293" s="53"/>
      <c r="AL293" s="41"/>
      <c r="AM293" s="41"/>
      <c r="AN293" s="41"/>
      <c r="AO293" s="41"/>
    </row>
    <row r="294" spans="9:41" s="30" customFormat="1">
      <c r="I294" s="69"/>
      <c r="K294" s="44"/>
      <c r="S294" s="41"/>
      <c r="T294" s="53"/>
      <c r="V294" s="53"/>
      <c r="W294" s="53"/>
      <c r="X294" s="53"/>
      <c r="AA294" s="58"/>
      <c r="AB294" s="58"/>
      <c r="AC294" s="41"/>
      <c r="AD294" s="41"/>
      <c r="AE294" s="41"/>
      <c r="AF294" s="41"/>
      <c r="AG294" s="41"/>
      <c r="AH294" s="53"/>
      <c r="AI294" s="53"/>
      <c r="AJ294" s="53"/>
      <c r="AK294" s="53"/>
      <c r="AL294" s="41"/>
      <c r="AM294" s="41"/>
      <c r="AN294" s="41"/>
      <c r="AO294" s="41"/>
    </row>
    <row r="295" spans="9:41" s="30" customFormat="1">
      <c r="I295" s="69"/>
      <c r="K295" s="44"/>
      <c r="S295" s="41"/>
      <c r="T295" s="53"/>
      <c r="V295" s="53"/>
      <c r="W295" s="53"/>
      <c r="X295" s="53"/>
      <c r="AA295" s="58"/>
      <c r="AB295" s="58"/>
      <c r="AC295" s="41"/>
      <c r="AD295" s="41"/>
      <c r="AE295" s="41"/>
      <c r="AF295" s="41"/>
      <c r="AG295" s="41"/>
      <c r="AH295" s="53"/>
      <c r="AI295" s="53"/>
      <c r="AJ295" s="53"/>
      <c r="AK295" s="53"/>
      <c r="AL295" s="41"/>
      <c r="AM295" s="41"/>
      <c r="AN295" s="41"/>
      <c r="AO295" s="41"/>
    </row>
    <row r="296" spans="9:41" s="30" customFormat="1">
      <c r="I296" s="69"/>
      <c r="K296" s="44"/>
      <c r="S296" s="41"/>
      <c r="T296" s="53"/>
      <c r="V296" s="53"/>
      <c r="W296" s="53"/>
      <c r="X296" s="53"/>
      <c r="AA296" s="58"/>
      <c r="AB296" s="58"/>
      <c r="AC296" s="41"/>
      <c r="AD296" s="41"/>
      <c r="AE296" s="41"/>
      <c r="AF296" s="41"/>
      <c r="AG296" s="41"/>
      <c r="AH296" s="53"/>
      <c r="AI296" s="53"/>
      <c r="AJ296" s="53"/>
      <c r="AK296" s="53"/>
      <c r="AL296" s="41"/>
      <c r="AM296" s="41"/>
      <c r="AN296" s="41"/>
      <c r="AO296" s="41"/>
    </row>
    <row r="297" spans="9:41" s="30" customFormat="1">
      <c r="I297" s="69"/>
      <c r="K297" s="44"/>
      <c r="S297" s="41"/>
      <c r="T297" s="53"/>
      <c r="V297" s="53"/>
      <c r="W297" s="53"/>
      <c r="X297" s="53"/>
      <c r="AA297" s="58"/>
      <c r="AB297" s="58"/>
      <c r="AC297" s="41"/>
      <c r="AD297" s="41"/>
      <c r="AE297" s="41"/>
      <c r="AF297" s="41"/>
      <c r="AG297" s="41"/>
      <c r="AH297" s="53"/>
      <c r="AI297" s="53"/>
      <c r="AJ297" s="53"/>
      <c r="AK297" s="53"/>
      <c r="AL297" s="41"/>
      <c r="AM297" s="41"/>
      <c r="AN297" s="41"/>
      <c r="AO297" s="41"/>
    </row>
    <row r="298" spans="9:41" s="30" customFormat="1">
      <c r="I298" s="69"/>
      <c r="K298" s="44"/>
      <c r="S298" s="41"/>
      <c r="T298" s="53"/>
      <c r="V298" s="53"/>
      <c r="W298" s="53"/>
      <c r="X298" s="53"/>
      <c r="AA298" s="58"/>
      <c r="AB298" s="58"/>
      <c r="AC298" s="41"/>
      <c r="AD298" s="41"/>
      <c r="AE298" s="41"/>
      <c r="AF298" s="41"/>
      <c r="AG298" s="41"/>
      <c r="AH298" s="53"/>
      <c r="AI298" s="53"/>
      <c r="AJ298" s="53"/>
      <c r="AK298" s="53"/>
      <c r="AL298" s="41"/>
      <c r="AM298" s="41"/>
      <c r="AN298" s="41"/>
      <c r="AO298" s="41"/>
    </row>
    <row r="299" spans="9:41" s="30" customFormat="1">
      <c r="I299" s="69"/>
      <c r="K299" s="44"/>
      <c r="S299" s="41"/>
      <c r="T299" s="53"/>
      <c r="V299" s="53"/>
      <c r="W299" s="53"/>
      <c r="X299" s="53"/>
      <c r="AA299" s="58"/>
      <c r="AB299" s="58"/>
      <c r="AC299" s="41"/>
      <c r="AD299" s="41"/>
      <c r="AE299" s="41"/>
      <c r="AF299" s="41"/>
      <c r="AG299" s="41"/>
      <c r="AH299" s="53"/>
      <c r="AI299" s="53"/>
      <c r="AJ299" s="53"/>
      <c r="AK299" s="53"/>
      <c r="AL299" s="41"/>
      <c r="AM299" s="41"/>
      <c r="AN299" s="41"/>
      <c r="AO299" s="41"/>
    </row>
    <row r="300" spans="9:41" s="30" customFormat="1">
      <c r="I300" s="69"/>
      <c r="K300" s="44"/>
      <c r="S300" s="41"/>
      <c r="T300" s="53"/>
      <c r="V300" s="53"/>
      <c r="W300" s="53"/>
      <c r="X300" s="53"/>
      <c r="AA300" s="58"/>
      <c r="AB300" s="58"/>
      <c r="AC300" s="41"/>
      <c r="AD300" s="41"/>
      <c r="AE300" s="41"/>
      <c r="AF300" s="41"/>
      <c r="AG300" s="41"/>
      <c r="AH300" s="53"/>
      <c r="AI300" s="53"/>
      <c r="AJ300" s="53"/>
      <c r="AK300" s="53"/>
      <c r="AL300" s="41"/>
      <c r="AM300" s="41"/>
      <c r="AN300" s="41"/>
      <c r="AO300" s="41"/>
    </row>
    <row r="301" spans="9:41" s="30" customFormat="1">
      <c r="I301" s="69"/>
      <c r="K301" s="44"/>
      <c r="S301" s="41"/>
      <c r="T301" s="53"/>
      <c r="V301" s="53"/>
      <c r="W301" s="53"/>
      <c r="X301" s="53"/>
      <c r="AA301" s="58"/>
      <c r="AB301" s="58"/>
      <c r="AC301" s="41"/>
      <c r="AD301" s="41"/>
      <c r="AE301" s="41"/>
      <c r="AF301" s="41"/>
      <c r="AG301" s="41"/>
      <c r="AH301" s="53"/>
      <c r="AI301" s="53"/>
      <c r="AJ301" s="53"/>
      <c r="AK301" s="53"/>
      <c r="AL301" s="41"/>
      <c r="AM301" s="41"/>
      <c r="AN301" s="41"/>
      <c r="AO301" s="41"/>
    </row>
    <row r="302" spans="9:41" s="30" customFormat="1">
      <c r="I302" s="69"/>
      <c r="K302" s="44"/>
      <c r="S302" s="41"/>
      <c r="T302" s="53"/>
      <c r="V302" s="53"/>
      <c r="W302" s="53"/>
      <c r="X302" s="53"/>
      <c r="AA302" s="58"/>
      <c r="AB302" s="58"/>
      <c r="AC302" s="41"/>
      <c r="AD302" s="41"/>
      <c r="AE302" s="41"/>
      <c r="AF302" s="41"/>
      <c r="AG302" s="41"/>
      <c r="AH302" s="53"/>
      <c r="AI302" s="53"/>
      <c r="AJ302" s="53"/>
      <c r="AK302" s="53"/>
      <c r="AL302" s="41"/>
      <c r="AM302" s="41"/>
      <c r="AN302" s="41"/>
      <c r="AO302" s="41"/>
    </row>
    <row r="303" spans="9:41" s="30" customFormat="1">
      <c r="I303" s="69"/>
      <c r="K303" s="44"/>
      <c r="S303" s="41"/>
      <c r="T303" s="53"/>
      <c r="V303" s="53"/>
      <c r="W303" s="53"/>
      <c r="X303" s="53"/>
      <c r="AA303" s="58"/>
      <c r="AB303" s="58"/>
      <c r="AC303" s="41"/>
      <c r="AD303" s="41"/>
      <c r="AE303" s="41"/>
      <c r="AF303" s="41"/>
      <c r="AG303" s="41"/>
      <c r="AH303" s="53"/>
      <c r="AI303" s="53"/>
      <c r="AJ303" s="53"/>
      <c r="AK303" s="53"/>
      <c r="AL303" s="41"/>
      <c r="AM303" s="41"/>
      <c r="AN303" s="41"/>
      <c r="AO303" s="41"/>
    </row>
    <row r="304" spans="9:41" s="30" customFormat="1">
      <c r="I304" s="69"/>
      <c r="K304" s="44"/>
      <c r="S304" s="41"/>
      <c r="T304" s="53"/>
      <c r="V304" s="53"/>
      <c r="W304" s="53"/>
      <c r="X304" s="53"/>
      <c r="AA304" s="58"/>
      <c r="AB304" s="58"/>
      <c r="AC304" s="41"/>
      <c r="AD304" s="41"/>
      <c r="AE304" s="41"/>
      <c r="AF304" s="41"/>
      <c r="AG304" s="41"/>
      <c r="AH304" s="53"/>
      <c r="AI304" s="53"/>
      <c r="AJ304" s="53"/>
      <c r="AK304" s="53"/>
      <c r="AL304" s="41"/>
      <c r="AM304" s="41"/>
      <c r="AN304" s="41"/>
      <c r="AO304" s="41"/>
    </row>
    <row r="305" spans="9:41" s="30" customFormat="1">
      <c r="I305" s="69"/>
      <c r="K305" s="44"/>
      <c r="S305" s="41"/>
      <c r="T305" s="53"/>
      <c r="V305" s="53"/>
      <c r="W305" s="53"/>
      <c r="X305" s="53"/>
      <c r="AA305" s="58"/>
      <c r="AB305" s="58"/>
      <c r="AC305" s="41"/>
      <c r="AD305" s="41"/>
      <c r="AE305" s="41"/>
      <c r="AF305" s="41"/>
      <c r="AG305" s="41"/>
      <c r="AH305" s="53"/>
      <c r="AI305" s="53"/>
      <c r="AJ305" s="53"/>
      <c r="AK305" s="53"/>
      <c r="AL305" s="41"/>
      <c r="AM305" s="41"/>
      <c r="AN305" s="41"/>
      <c r="AO305" s="41"/>
    </row>
    <row r="306" spans="9:41" s="30" customFormat="1">
      <c r="I306" s="69"/>
      <c r="K306" s="44"/>
      <c r="S306" s="41"/>
      <c r="T306" s="53"/>
      <c r="V306" s="53"/>
      <c r="W306" s="53"/>
      <c r="X306" s="53"/>
      <c r="AA306" s="58"/>
      <c r="AB306" s="58"/>
      <c r="AC306" s="41"/>
      <c r="AD306" s="41"/>
      <c r="AE306" s="41"/>
      <c r="AF306" s="41"/>
      <c r="AG306" s="41"/>
      <c r="AH306" s="53"/>
      <c r="AI306" s="53"/>
      <c r="AJ306" s="53"/>
      <c r="AK306" s="53"/>
      <c r="AL306" s="41"/>
      <c r="AM306" s="41"/>
      <c r="AN306" s="41"/>
      <c r="AO306" s="41"/>
    </row>
    <row r="307" spans="9:41" s="30" customFormat="1">
      <c r="I307" s="69"/>
      <c r="K307" s="44"/>
      <c r="S307" s="41"/>
      <c r="T307" s="53"/>
      <c r="V307" s="53"/>
      <c r="W307" s="53"/>
      <c r="X307" s="53"/>
      <c r="AA307" s="58"/>
      <c r="AB307" s="58"/>
      <c r="AC307" s="41"/>
      <c r="AD307" s="41"/>
      <c r="AE307" s="41"/>
      <c r="AF307" s="41"/>
      <c r="AG307" s="41"/>
      <c r="AH307" s="53"/>
      <c r="AI307" s="53"/>
      <c r="AJ307" s="53"/>
      <c r="AK307" s="53"/>
      <c r="AL307" s="41"/>
      <c r="AM307" s="41"/>
      <c r="AN307" s="41"/>
      <c r="AO307" s="41"/>
    </row>
    <row r="308" spans="9:41" s="30" customFormat="1">
      <c r="I308" s="69"/>
      <c r="K308" s="44"/>
      <c r="S308" s="41"/>
      <c r="T308" s="53"/>
      <c r="V308" s="53"/>
      <c r="W308" s="53"/>
      <c r="X308" s="53"/>
      <c r="AA308" s="58"/>
      <c r="AB308" s="58"/>
      <c r="AC308" s="41"/>
      <c r="AD308" s="41"/>
      <c r="AE308" s="41"/>
      <c r="AF308" s="41"/>
      <c r="AG308" s="41"/>
      <c r="AH308" s="53"/>
      <c r="AI308" s="53"/>
      <c r="AJ308" s="53"/>
      <c r="AK308" s="53"/>
      <c r="AL308" s="41"/>
      <c r="AM308" s="41"/>
      <c r="AN308" s="41"/>
      <c r="AO308" s="41"/>
    </row>
    <row r="309" spans="9:41" s="30" customFormat="1">
      <c r="I309" s="69"/>
      <c r="K309" s="44"/>
      <c r="S309" s="41"/>
      <c r="T309" s="53"/>
      <c r="V309" s="53"/>
      <c r="W309" s="53"/>
      <c r="X309" s="53"/>
      <c r="AA309" s="58"/>
      <c r="AB309" s="58"/>
      <c r="AC309" s="41"/>
      <c r="AD309" s="41"/>
      <c r="AE309" s="41"/>
      <c r="AF309" s="41"/>
      <c r="AG309" s="41"/>
      <c r="AH309" s="53"/>
      <c r="AI309" s="53"/>
      <c r="AJ309" s="53"/>
      <c r="AK309" s="53"/>
      <c r="AL309" s="41"/>
      <c r="AM309" s="41"/>
      <c r="AN309" s="41"/>
      <c r="AO309" s="41"/>
    </row>
    <row r="310" spans="9:41" s="30" customFormat="1">
      <c r="I310" s="69"/>
      <c r="K310" s="44"/>
      <c r="S310" s="41"/>
      <c r="T310" s="53"/>
      <c r="V310" s="53"/>
      <c r="W310" s="53"/>
      <c r="X310" s="53"/>
      <c r="AA310" s="58"/>
      <c r="AB310" s="58"/>
      <c r="AC310" s="41"/>
      <c r="AD310" s="41"/>
      <c r="AE310" s="41"/>
      <c r="AF310" s="41"/>
      <c r="AG310" s="41"/>
      <c r="AH310" s="53"/>
      <c r="AI310" s="53"/>
      <c r="AJ310" s="53"/>
      <c r="AK310" s="53"/>
      <c r="AL310" s="41"/>
      <c r="AM310" s="41"/>
      <c r="AN310" s="41"/>
      <c r="AO310" s="41"/>
    </row>
    <row r="311" spans="9:41" s="30" customFormat="1">
      <c r="I311" s="69"/>
      <c r="K311" s="44"/>
      <c r="S311" s="41"/>
      <c r="T311" s="53"/>
      <c r="V311" s="53"/>
      <c r="W311" s="53"/>
      <c r="X311" s="53"/>
      <c r="AA311" s="58"/>
      <c r="AB311" s="58"/>
      <c r="AC311" s="41"/>
      <c r="AD311" s="41"/>
      <c r="AE311" s="41"/>
      <c r="AF311" s="41"/>
      <c r="AG311" s="41"/>
      <c r="AH311" s="53"/>
      <c r="AI311" s="53"/>
      <c r="AJ311" s="53"/>
      <c r="AK311" s="53"/>
      <c r="AL311" s="41"/>
      <c r="AM311" s="41"/>
      <c r="AN311" s="41"/>
      <c r="AO311" s="41"/>
    </row>
    <row r="312" spans="9:41" s="30" customFormat="1">
      <c r="I312" s="69"/>
      <c r="K312" s="44"/>
      <c r="S312" s="41"/>
      <c r="T312" s="53"/>
      <c r="V312" s="53"/>
      <c r="W312" s="53"/>
      <c r="X312" s="53"/>
      <c r="AA312" s="58"/>
      <c r="AB312" s="58"/>
      <c r="AC312" s="41"/>
      <c r="AD312" s="41"/>
      <c r="AE312" s="41"/>
      <c r="AF312" s="41"/>
      <c r="AG312" s="41"/>
      <c r="AH312" s="53"/>
      <c r="AI312" s="53"/>
      <c r="AJ312" s="53"/>
      <c r="AK312" s="53"/>
      <c r="AL312" s="41"/>
      <c r="AM312" s="41"/>
      <c r="AN312" s="41"/>
      <c r="AO312" s="41"/>
    </row>
    <row r="313" spans="9:41" s="30" customFormat="1">
      <c r="I313" s="69"/>
      <c r="K313" s="44"/>
      <c r="S313" s="41"/>
      <c r="T313" s="53"/>
      <c r="V313" s="53"/>
      <c r="W313" s="53"/>
      <c r="X313" s="53"/>
      <c r="AA313" s="58"/>
      <c r="AB313" s="58"/>
      <c r="AC313" s="41"/>
      <c r="AD313" s="41"/>
      <c r="AE313" s="41"/>
      <c r="AF313" s="41"/>
      <c r="AG313" s="41"/>
      <c r="AH313" s="53"/>
      <c r="AI313" s="53"/>
      <c r="AJ313" s="53"/>
      <c r="AK313" s="53"/>
      <c r="AL313" s="41"/>
      <c r="AM313" s="41"/>
      <c r="AN313" s="41"/>
      <c r="AO313" s="41"/>
    </row>
    <row r="314" spans="9:41" s="30" customFormat="1">
      <c r="I314" s="69"/>
      <c r="K314" s="44"/>
      <c r="S314" s="41"/>
      <c r="T314" s="53"/>
      <c r="V314" s="53"/>
      <c r="W314" s="53"/>
      <c r="X314" s="53"/>
      <c r="AA314" s="58"/>
      <c r="AB314" s="58"/>
      <c r="AC314" s="41"/>
      <c r="AD314" s="41"/>
      <c r="AE314" s="41"/>
      <c r="AF314" s="41"/>
      <c r="AG314" s="41"/>
      <c r="AH314" s="53"/>
      <c r="AI314" s="53"/>
      <c r="AJ314" s="53"/>
      <c r="AK314" s="53"/>
      <c r="AL314" s="41"/>
      <c r="AM314" s="41"/>
      <c r="AN314" s="41"/>
      <c r="AO314" s="41"/>
    </row>
    <row r="315" spans="9:41" s="30" customFormat="1">
      <c r="I315" s="69"/>
      <c r="K315" s="44"/>
      <c r="S315" s="41"/>
      <c r="T315" s="53"/>
      <c r="V315" s="53"/>
      <c r="W315" s="53"/>
      <c r="X315" s="53"/>
      <c r="AA315" s="58"/>
      <c r="AB315" s="58"/>
      <c r="AC315" s="41"/>
      <c r="AD315" s="41"/>
      <c r="AE315" s="41"/>
      <c r="AF315" s="41"/>
      <c r="AG315" s="41"/>
      <c r="AH315" s="53"/>
      <c r="AI315" s="53"/>
      <c r="AJ315" s="53"/>
      <c r="AK315" s="53"/>
      <c r="AL315" s="41"/>
      <c r="AM315" s="41"/>
      <c r="AN315" s="41"/>
      <c r="AO315" s="41"/>
    </row>
    <row r="316" spans="9:41" s="30" customFormat="1">
      <c r="I316" s="69"/>
      <c r="K316" s="44"/>
      <c r="S316" s="41"/>
      <c r="T316" s="53"/>
      <c r="V316" s="53"/>
      <c r="W316" s="53"/>
      <c r="X316" s="53"/>
      <c r="AA316" s="58"/>
      <c r="AB316" s="58"/>
      <c r="AC316" s="41"/>
      <c r="AD316" s="41"/>
      <c r="AE316" s="41"/>
      <c r="AF316" s="41"/>
      <c r="AG316" s="41"/>
      <c r="AH316" s="53"/>
      <c r="AI316" s="53"/>
      <c r="AJ316" s="53"/>
      <c r="AK316" s="53"/>
      <c r="AL316" s="41"/>
      <c r="AM316" s="41"/>
      <c r="AN316" s="41"/>
      <c r="AO316" s="41"/>
    </row>
    <row r="317" spans="9:41" s="30" customFormat="1">
      <c r="I317" s="69"/>
      <c r="K317" s="44"/>
      <c r="S317" s="41"/>
      <c r="T317" s="53"/>
      <c r="V317" s="53"/>
      <c r="W317" s="53"/>
      <c r="X317" s="53"/>
      <c r="AA317" s="58"/>
      <c r="AB317" s="58"/>
      <c r="AC317" s="41"/>
      <c r="AD317" s="41"/>
      <c r="AE317" s="41"/>
      <c r="AF317" s="41"/>
      <c r="AG317" s="41"/>
      <c r="AH317" s="53"/>
      <c r="AI317" s="53"/>
      <c r="AJ317" s="53"/>
      <c r="AK317" s="53"/>
      <c r="AL317" s="41"/>
      <c r="AM317" s="41"/>
      <c r="AN317" s="41"/>
      <c r="AO317" s="41"/>
    </row>
    <row r="318" spans="9:41" s="30" customFormat="1">
      <c r="I318" s="69"/>
      <c r="K318" s="44"/>
      <c r="S318" s="41"/>
      <c r="T318" s="53"/>
      <c r="V318" s="53"/>
      <c r="W318" s="53"/>
      <c r="X318" s="53"/>
      <c r="AA318" s="58"/>
      <c r="AB318" s="58"/>
      <c r="AC318" s="41"/>
      <c r="AD318" s="41"/>
      <c r="AE318" s="41"/>
      <c r="AF318" s="41"/>
      <c r="AG318" s="41"/>
      <c r="AH318" s="53"/>
      <c r="AI318" s="53"/>
      <c r="AJ318" s="53"/>
      <c r="AK318" s="53"/>
      <c r="AL318" s="41"/>
      <c r="AM318" s="41"/>
      <c r="AN318" s="41"/>
      <c r="AO318" s="41"/>
    </row>
    <row r="319" spans="9:41" s="30" customFormat="1">
      <c r="I319" s="69"/>
      <c r="K319" s="44"/>
      <c r="S319" s="41"/>
      <c r="T319" s="53"/>
      <c r="V319" s="53"/>
      <c r="W319" s="53"/>
      <c r="X319" s="53"/>
      <c r="AA319" s="58"/>
      <c r="AB319" s="58"/>
      <c r="AC319" s="41"/>
      <c r="AD319" s="41"/>
      <c r="AE319" s="41"/>
      <c r="AF319" s="41"/>
      <c r="AG319" s="41"/>
      <c r="AH319" s="53"/>
      <c r="AI319" s="53"/>
      <c r="AJ319" s="53"/>
      <c r="AK319" s="53"/>
      <c r="AL319" s="41"/>
      <c r="AM319" s="41"/>
      <c r="AN319" s="41"/>
      <c r="AO319" s="41"/>
    </row>
    <row r="320" spans="9:41" s="30" customFormat="1">
      <c r="I320" s="69"/>
      <c r="K320" s="44"/>
      <c r="S320" s="41"/>
      <c r="T320" s="53"/>
      <c r="V320" s="53"/>
      <c r="W320" s="53"/>
      <c r="X320" s="53"/>
      <c r="AA320" s="58"/>
      <c r="AB320" s="58"/>
      <c r="AC320" s="41"/>
      <c r="AD320" s="41"/>
      <c r="AE320" s="41"/>
      <c r="AF320" s="41"/>
      <c r="AG320" s="41"/>
      <c r="AH320" s="53"/>
      <c r="AI320" s="53"/>
      <c r="AJ320" s="53"/>
      <c r="AK320" s="53"/>
      <c r="AL320" s="41"/>
      <c r="AM320" s="41"/>
      <c r="AN320" s="41"/>
      <c r="AO320" s="41"/>
    </row>
    <row r="321" spans="9:41" s="30" customFormat="1">
      <c r="I321" s="69"/>
      <c r="K321" s="44"/>
      <c r="S321" s="41"/>
      <c r="T321" s="53"/>
      <c r="V321" s="53"/>
      <c r="W321" s="53"/>
      <c r="X321" s="53"/>
      <c r="AA321" s="58"/>
      <c r="AB321" s="58"/>
      <c r="AC321" s="41"/>
      <c r="AD321" s="41"/>
      <c r="AE321" s="41"/>
      <c r="AF321" s="41"/>
      <c r="AG321" s="41"/>
      <c r="AH321" s="53"/>
      <c r="AI321" s="53"/>
      <c r="AJ321" s="53"/>
      <c r="AK321" s="53"/>
      <c r="AL321" s="41"/>
      <c r="AM321" s="41"/>
      <c r="AN321" s="41"/>
      <c r="AO321" s="41"/>
    </row>
    <row r="322" spans="9:41" s="30" customFormat="1">
      <c r="I322" s="69"/>
      <c r="K322" s="44"/>
      <c r="S322" s="41"/>
      <c r="T322" s="53"/>
      <c r="V322" s="53"/>
      <c r="W322" s="53"/>
      <c r="X322" s="53"/>
      <c r="AA322" s="58"/>
      <c r="AB322" s="58"/>
      <c r="AC322" s="41"/>
      <c r="AD322" s="41"/>
      <c r="AE322" s="41"/>
      <c r="AF322" s="41"/>
      <c r="AG322" s="41"/>
      <c r="AH322" s="53"/>
      <c r="AI322" s="53"/>
      <c r="AJ322" s="53"/>
      <c r="AK322" s="53"/>
      <c r="AL322" s="41"/>
      <c r="AM322" s="41"/>
      <c r="AN322" s="41"/>
      <c r="AO322" s="41"/>
    </row>
    <row r="323" spans="9:41" s="30" customFormat="1">
      <c r="I323" s="69"/>
      <c r="K323" s="44"/>
      <c r="S323" s="41"/>
      <c r="T323" s="53"/>
      <c r="V323" s="53"/>
      <c r="W323" s="53"/>
      <c r="X323" s="53"/>
      <c r="AA323" s="58"/>
      <c r="AB323" s="58"/>
      <c r="AC323" s="41"/>
      <c r="AD323" s="41"/>
      <c r="AE323" s="41"/>
      <c r="AF323" s="41"/>
      <c r="AG323" s="41"/>
      <c r="AH323" s="53"/>
      <c r="AI323" s="53"/>
      <c r="AJ323" s="53"/>
      <c r="AK323" s="53"/>
      <c r="AL323" s="41"/>
      <c r="AM323" s="41"/>
      <c r="AN323" s="41"/>
      <c r="AO323" s="41"/>
    </row>
    <row r="324" spans="9:41" s="30" customFormat="1">
      <c r="I324" s="69"/>
      <c r="K324" s="44"/>
      <c r="S324" s="41"/>
      <c r="T324" s="53"/>
      <c r="V324" s="53"/>
      <c r="W324" s="53"/>
      <c r="X324" s="53"/>
      <c r="AA324" s="58"/>
      <c r="AB324" s="58"/>
      <c r="AC324" s="41"/>
      <c r="AD324" s="41"/>
      <c r="AE324" s="41"/>
      <c r="AF324" s="41"/>
      <c r="AG324" s="41"/>
      <c r="AH324" s="53"/>
      <c r="AI324" s="53"/>
      <c r="AJ324" s="53"/>
      <c r="AK324" s="53"/>
      <c r="AL324" s="41"/>
      <c r="AM324" s="41"/>
      <c r="AN324" s="41"/>
      <c r="AO324" s="41"/>
    </row>
    <row r="325" spans="9:41" s="30" customFormat="1">
      <c r="I325" s="69"/>
      <c r="K325" s="44"/>
      <c r="S325" s="41"/>
      <c r="T325" s="53"/>
      <c r="V325" s="53"/>
      <c r="W325" s="53"/>
      <c r="X325" s="53"/>
      <c r="AA325" s="58"/>
      <c r="AB325" s="58"/>
      <c r="AC325" s="41"/>
      <c r="AD325" s="41"/>
      <c r="AE325" s="41"/>
      <c r="AF325" s="41"/>
      <c r="AG325" s="41"/>
      <c r="AH325" s="53"/>
      <c r="AI325" s="53"/>
      <c r="AJ325" s="53"/>
      <c r="AK325" s="53"/>
      <c r="AL325" s="41"/>
      <c r="AM325" s="41"/>
      <c r="AN325" s="41"/>
      <c r="AO325" s="41"/>
    </row>
    <row r="326" spans="9:41" s="30" customFormat="1">
      <c r="I326" s="69"/>
      <c r="K326" s="44"/>
      <c r="S326" s="41"/>
      <c r="T326" s="53"/>
      <c r="V326" s="53"/>
      <c r="W326" s="53"/>
      <c r="X326" s="53"/>
      <c r="AA326" s="58"/>
      <c r="AB326" s="58"/>
      <c r="AC326" s="41"/>
      <c r="AD326" s="41"/>
      <c r="AE326" s="41"/>
      <c r="AF326" s="41"/>
      <c r="AG326" s="41"/>
      <c r="AH326" s="53"/>
      <c r="AI326" s="53"/>
      <c r="AJ326" s="53"/>
      <c r="AK326" s="53"/>
      <c r="AL326" s="41"/>
      <c r="AM326" s="41"/>
      <c r="AN326" s="41"/>
      <c r="AO326" s="41"/>
    </row>
    <row r="327" spans="9:41" s="30" customFormat="1">
      <c r="I327" s="69"/>
      <c r="K327" s="44"/>
      <c r="S327" s="41"/>
      <c r="T327" s="53"/>
      <c r="V327" s="53"/>
      <c r="W327" s="53"/>
      <c r="X327" s="53"/>
      <c r="AA327" s="58"/>
      <c r="AB327" s="58"/>
      <c r="AC327" s="41"/>
      <c r="AD327" s="41"/>
      <c r="AE327" s="41"/>
      <c r="AF327" s="41"/>
      <c r="AG327" s="41"/>
      <c r="AH327" s="53"/>
      <c r="AI327" s="53"/>
      <c r="AJ327" s="53"/>
      <c r="AK327" s="53"/>
      <c r="AL327" s="41"/>
      <c r="AM327" s="41"/>
      <c r="AN327" s="41"/>
      <c r="AO327" s="41"/>
    </row>
    <row r="328" spans="9:41" s="30" customFormat="1">
      <c r="I328" s="69"/>
      <c r="K328" s="44"/>
      <c r="S328" s="41"/>
      <c r="T328" s="53"/>
      <c r="V328" s="53"/>
      <c r="W328" s="53"/>
      <c r="X328" s="53"/>
      <c r="AA328" s="58"/>
      <c r="AB328" s="58"/>
      <c r="AC328" s="41"/>
      <c r="AD328" s="41"/>
      <c r="AE328" s="41"/>
      <c r="AF328" s="41"/>
      <c r="AG328" s="41"/>
      <c r="AH328" s="53"/>
      <c r="AI328" s="53"/>
      <c r="AJ328" s="53"/>
      <c r="AK328" s="53"/>
      <c r="AL328" s="41"/>
      <c r="AM328" s="41"/>
      <c r="AN328" s="41"/>
      <c r="AO328" s="41"/>
    </row>
    <row r="329" spans="9:41" s="30" customFormat="1">
      <c r="I329" s="69"/>
      <c r="K329" s="44"/>
      <c r="S329" s="41"/>
      <c r="T329" s="53"/>
      <c r="V329" s="53"/>
      <c r="W329" s="53"/>
      <c r="X329" s="53"/>
      <c r="AA329" s="58"/>
      <c r="AB329" s="58"/>
      <c r="AC329" s="41"/>
      <c r="AD329" s="41"/>
      <c r="AE329" s="41"/>
      <c r="AF329" s="41"/>
      <c r="AG329" s="41"/>
      <c r="AH329" s="53"/>
      <c r="AI329" s="53"/>
      <c r="AJ329" s="53"/>
      <c r="AK329" s="53"/>
      <c r="AL329" s="41"/>
      <c r="AM329" s="41"/>
      <c r="AN329" s="41"/>
      <c r="AO329" s="41"/>
    </row>
    <row r="330" spans="9:41" s="30" customFormat="1">
      <c r="I330" s="69"/>
      <c r="K330" s="44"/>
      <c r="S330" s="41"/>
      <c r="T330" s="53"/>
      <c r="V330" s="53"/>
      <c r="W330" s="53"/>
      <c r="X330" s="53"/>
      <c r="AA330" s="58"/>
      <c r="AB330" s="58"/>
      <c r="AC330" s="41"/>
      <c r="AD330" s="41"/>
      <c r="AE330" s="41"/>
      <c r="AF330" s="41"/>
      <c r="AG330" s="41"/>
      <c r="AH330" s="53"/>
      <c r="AI330" s="53"/>
      <c r="AJ330" s="53"/>
      <c r="AK330" s="53"/>
      <c r="AL330" s="41"/>
      <c r="AM330" s="41"/>
      <c r="AN330" s="41"/>
      <c r="AO330" s="41"/>
    </row>
    <row r="331" spans="9:41" s="30" customFormat="1">
      <c r="I331" s="69"/>
      <c r="K331" s="44"/>
      <c r="S331" s="41"/>
      <c r="T331" s="53"/>
      <c r="V331" s="53"/>
      <c r="W331" s="53"/>
      <c r="X331" s="53"/>
      <c r="AA331" s="58"/>
      <c r="AB331" s="58"/>
      <c r="AC331" s="41"/>
      <c r="AD331" s="41"/>
      <c r="AE331" s="41"/>
      <c r="AF331" s="41"/>
      <c r="AG331" s="41"/>
      <c r="AH331" s="53"/>
      <c r="AI331" s="53"/>
      <c r="AJ331" s="53"/>
      <c r="AK331" s="53"/>
      <c r="AL331" s="41"/>
      <c r="AM331" s="41"/>
      <c r="AN331" s="41"/>
      <c r="AO331" s="41"/>
    </row>
    <row r="332" spans="9:41" s="30" customFormat="1">
      <c r="I332" s="69"/>
      <c r="K332" s="44"/>
      <c r="S332" s="41"/>
      <c r="T332" s="53"/>
      <c r="V332" s="53"/>
      <c r="W332" s="53"/>
      <c r="X332" s="53"/>
      <c r="AA332" s="58"/>
      <c r="AB332" s="58"/>
      <c r="AC332" s="41"/>
      <c r="AD332" s="41"/>
      <c r="AE332" s="41"/>
      <c r="AF332" s="41"/>
      <c r="AG332" s="41"/>
      <c r="AH332" s="53"/>
      <c r="AI332" s="53"/>
      <c r="AJ332" s="53"/>
      <c r="AK332" s="53"/>
      <c r="AL332" s="41"/>
      <c r="AM332" s="41"/>
      <c r="AN332" s="41"/>
      <c r="AO332" s="41"/>
    </row>
    <row r="333" spans="9:41" s="30" customFormat="1">
      <c r="I333" s="69"/>
      <c r="K333" s="44"/>
      <c r="S333" s="41"/>
      <c r="T333" s="53"/>
      <c r="V333" s="53"/>
      <c r="W333" s="53"/>
      <c r="X333" s="53"/>
      <c r="AA333" s="58"/>
      <c r="AB333" s="58"/>
      <c r="AC333" s="41"/>
      <c r="AD333" s="41"/>
      <c r="AE333" s="41"/>
      <c r="AF333" s="41"/>
      <c r="AG333" s="41"/>
      <c r="AH333" s="53"/>
      <c r="AI333" s="53"/>
      <c r="AJ333" s="53"/>
      <c r="AK333" s="53"/>
      <c r="AL333" s="41"/>
      <c r="AM333" s="41"/>
      <c r="AN333" s="41"/>
      <c r="AO333" s="41"/>
    </row>
    <row r="334" spans="9:41" s="30" customFormat="1">
      <c r="I334" s="69"/>
      <c r="K334" s="44"/>
      <c r="S334" s="41"/>
      <c r="T334" s="53"/>
      <c r="V334" s="53"/>
      <c r="W334" s="53"/>
      <c r="X334" s="53"/>
      <c r="AA334" s="58"/>
      <c r="AB334" s="58"/>
      <c r="AC334" s="41"/>
      <c r="AD334" s="41"/>
      <c r="AE334" s="41"/>
      <c r="AF334" s="41"/>
      <c r="AG334" s="41"/>
      <c r="AH334" s="53"/>
      <c r="AI334" s="53"/>
      <c r="AJ334" s="53"/>
      <c r="AK334" s="53"/>
      <c r="AL334" s="41"/>
      <c r="AM334" s="41"/>
      <c r="AN334" s="41"/>
      <c r="AO334" s="41"/>
    </row>
    <row r="335" spans="9:41" s="30" customFormat="1">
      <c r="I335" s="69"/>
      <c r="K335" s="44"/>
      <c r="S335" s="41"/>
      <c r="T335" s="53"/>
      <c r="V335" s="53"/>
      <c r="W335" s="53"/>
      <c r="X335" s="53"/>
      <c r="AA335" s="58"/>
      <c r="AB335" s="58"/>
      <c r="AC335" s="41"/>
      <c r="AD335" s="41"/>
      <c r="AE335" s="41"/>
      <c r="AF335" s="41"/>
      <c r="AG335" s="41"/>
      <c r="AH335" s="53"/>
      <c r="AI335" s="53"/>
      <c r="AJ335" s="53"/>
      <c r="AK335" s="53"/>
      <c r="AL335" s="41"/>
      <c r="AM335" s="41"/>
      <c r="AN335" s="41"/>
      <c r="AO335" s="41"/>
    </row>
    <row r="336" spans="9:41" s="30" customFormat="1">
      <c r="I336" s="69"/>
      <c r="K336" s="44"/>
      <c r="S336" s="41"/>
      <c r="T336" s="53"/>
      <c r="V336" s="53"/>
      <c r="W336" s="53"/>
      <c r="X336" s="53"/>
      <c r="AA336" s="58"/>
      <c r="AB336" s="58"/>
      <c r="AC336" s="41"/>
      <c r="AD336" s="41"/>
      <c r="AE336" s="41"/>
      <c r="AF336" s="41"/>
      <c r="AG336" s="41"/>
      <c r="AH336" s="53"/>
      <c r="AI336" s="53"/>
      <c r="AJ336" s="53"/>
      <c r="AK336" s="53"/>
      <c r="AL336" s="41"/>
      <c r="AM336" s="41"/>
      <c r="AN336" s="41"/>
      <c r="AO336" s="41"/>
    </row>
    <row r="337" spans="9:41" s="30" customFormat="1">
      <c r="I337" s="69"/>
      <c r="K337" s="44"/>
      <c r="S337" s="41"/>
      <c r="T337" s="53"/>
      <c r="V337" s="53"/>
      <c r="W337" s="53"/>
      <c r="X337" s="53"/>
      <c r="AA337" s="58"/>
      <c r="AB337" s="58"/>
      <c r="AC337" s="41"/>
      <c r="AD337" s="41"/>
      <c r="AE337" s="41"/>
      <c r="AF337" s="41"/>
      <c r="AG337" s="41"/>
      <c r="AH337" s="53"/>
      <c r="AI337" s="53"/>
      <c r="AJ337" s="53"/>
      <c r="AK337" s="53"/>
      <c r="AL337" s="41"/>
      <c r="AM337" s="41"/>
      <c r="AN337" s="41"/>
      <c r="AO337" s="41"/>
    </row>
    <row r="338" spans="9:41" s="30" customFormat="1">
      <c r="I338" s="69"/>
      <c r="K338" s="44"/>
      <c r="S338" s="41"/>
      <c r="T338" s="53"/>
      <c r="V338" s="53"/>
      <c r="W338" s="53"/>
      <c r="X338" s="53"/>
      <c r="AA338" s="58"/>
      <c r="AB338" s="58"/>
      <c r="AC338" s="41"/>
      <c r="AD338" s="41"/>
      <c r="AE338" s="41"/>
      <c r="AF338" s="41"/>
      <c r="AG338" s="41"/>
      <c r="AH338" s="53"/>
      <c r="AI338" s="53"/>
      <c r="AJ338" s="53"/>
      <c r="AK338" s="53"/>
      <c r="AL338" s="41"/>
      <c r="AM338" s="41"/>
      <c r="AN338" s="41"/>
      <c r="AO338" s="41"/>
    </row>
    <row r="339" spans="9:41" s="30" customFormat="1">
      <c r="I339" s="69"/>
      <c r="K339" s="44"/>
      <c r="S339" s="41"/>
      <c r="T339" s="53"/>
      <c r="V339" s="53"/>
      <c r="W339" s="53"/>
      <c r="X339" s="53"/>
      <c r="AA339" s="58"/>
      <c r="AB339" s="58"/>
      <c r="AC339" s="41"/>
      <c r="AD339" s="41"/>
      <c r="AE339" s="41"/>
      <c r="AF339" s="41"/>
      <c r="AG339" s="41"/>
      <c r="AH339" s="53"/>
      <c r="AI339" s="53"/>
      <c r="AJ339" s="53"/>
      <c r="AK339" s="53"/>
      <c r="AL339" s="41"/>
      <c r="AM339" s="41"/>
      <c r="AN339" s="41"/>
      <c r="AO339" s="41"/>
    </row>
    <row r="340" spans="9:41" s="30" customFormat="1">
      <c r="I340" s="69"/>
      <c r="K340" s="44"/>
      <c r="S340" s="41"/>
      <c r="T340" s="53"/>
      <c r="V340" s="53"/>
      <c r="W340" s="53"/>
      <c r="X340" s="53"/>
      <c r="AA340" s="58"/>
      <c r="AB340" s="58"/>
      <c r="AC340" s="41"/>
      <c r="AD340" s="41"/>
      <c r="AE340" s="41"/>
      <c r="AF340" s="41"/>
      <c r="AG340" s="41"/>
      <c r="AH340" s="53"/>
      <c r="AI340" s="53"/>
      <c r="AJ340" s="53"/>
      <c r="AK340" s="53"/>
      <c r="AL340" s="41"/>
      <c r="AM340" s="41"/>
      <c r="AN340" s="41"/>
      <c r="AO340" s="41"/>
    </row>
    <row r="341" spans="9:41" s="30" customFormat="1">
      <c r="I341" s="69"/>
      <c r="K341" s="44"/>
      <c r="S341" s="41"/>
      <c r="T341" s="53"/>
      <c r="V341" s="53"/>
      <c r="W341" s="53"/>
      <c r="X341" s="53"/>
      <c r="AA341" s="58"/>
      <c r="AB341" s="58"/>
      <c r="AC341" s="41"/>
      <c r="AD341" s="41"/>
      <c r="AE341" s="41"/>
      <c r="AF341" s="41"/>
      <c r="AG341" s="41"/>
      <c r="AH341" s="53"/>
      <c r="AI341" s="53"/>
      <c r="AJ341" s="53"/>
      <c r="AK341" s="53"/>
      <c r="AL341" s="41"/>
      <c r="AM341" s="41"/>
      <c r="AN341" s="41"/>
      <c r="AO341" s="41"/>
    </row>
    <row r="342" spans="9:41" s="30" customFormat="1">
      <c r="I342" s="69"/>
      <c r="K342" s="44"/>
      <c r="S342" s="41"/>
      <c r="T342" s="53"/>
      <c r="V342" s="53"/>
      <c r="W342" s="53"/>
      <c r="X342" s="53"/>
      <c r="AA342" s="58"/>
      <c r="AB342" s="58"/>
      <c r="AC342" s="41"/>
      <c r="AD342" s="41"/>
      <c r="AE342" s="41"/>
      <c r="AF342" s="41"/>
      <c r="AG342" s="41"/>
      <c r="AH342" s="53"/>
      <c r="AI342" s="53"/>
      <c r="AJ342" s="53"/>
      <c r="AK342" s="53"/>
      <c r="AL342" s="41"/>
      <c r="AM342" s="41"/>
      <c r="AN342" s="41"/>
      <c r="AO342" s="41"/>
    </row>
    <row r="343" spans="9:41" s="30" customFormat="1">
      <c r="I343" s="69"/>
      <c r="K343" s="44"/>
      <c r="S343" s="41"/>
      <c r="T343" s="53"/>
      <c r="V343" s="53"/>
      <c r="W343" s="53"/>
      <c r="X343" s="53"/>
      <c r="AA343" s="58"/>
      <c r="AB343" s="58"/>
      <c r="AC343" s="41"/>
      <c r="AD343" s="41"/>
      <c r="AE343" s="41"/>
      <c r="AF343" s="41"/>
      <c r="AG343" s="41"/>
      <c r="AH343" s="53"/>
      <c r="AI343" s="53"/>
      <c r="AJ343" s="53"/>
      <c r="AK343" s="53"/>
      <c r="AL343" s="41"/>
      <c r="AM343" s="41"/>
      <c r="AN343" s="41"/>
      <c r="AO343" s="41"/>
    </row>
    <row r="344" spans="9:41" s="30" customFormat="1">
      <c r="I344" s="69"/>
      <c r="K344" s="44"/>
      <c r="S344" s="41"/>
      <c r="T344" s="53"/>
      <c r="V344" s="53"/>
      <c r="W344" s="53"/>
      <c r="X344" s="53"/>
      <c r="AA344" s="58"/>
      <c r="AB344" s="58"/>
      <c r="AC344" s="41"/>
      <c r="AD344" s="41"/>
      <c r="AE344" s="41"/>
      <c r="AF344" s="41"/>
      <c r="AG344" s="41"/>
      <c r="AH344" s="53"/>
      <c r="AI344" s="53"/>
      <c r="AJ344" s="53"/>
      <c r="AK344" s="53"/>
      <c r="AL344" s="41"/>
      <c r="AM344" s="41"/>
      <c r="AN344" s="41"/>
      <c r="AO344" s="41"/>
    </row>
    <row r="345" spans="9:41" s="30" customFormat="1">
      <c r="I345" s="69"/>
      <c r="K345" s="44"/>
      <c r="S345" s="41"/>
      <c r="T345" s="53"/>
      <c r="V345" s="53"/>
      <c r="W345" s="53"/>
      <c r="X345" s="53"/>
      <c r="AA345" s="58"/>
      <c r="AB345" s="58"/>
      <c r="AC345" s="41"/>
      <c r="AD345" s="41"/>
      <c r="AE345" s="41"/>
      <c r="AF345" s="41"/>
      <c r="AG345" s="41"/>
      <c r="AH345" s="53"/>
      <c r="AI345" s="53"/>
      <c r="AJ345" s="53"/>
      <c r="AK345" s="53"/>
      <c r="AL345" s="41"/>
      <c r="AM345" s="41"/>
      <c r="AN345" s="41"/>
      <c r="AO345" s="41"/>
    </row>
    <row r="346" spans="9:41" s="30" customFormat="1">
      <c r="I346" s="69"/>
      <c r="K346" s="44"/>
      <c r="S346" s="41"/>
      <c r="T346" s="53"/>
      <c r="V346" s="53"/>
      <c r="W346" s="53"/>
      <c r="X346" s="53"/>
      <c r="AA346" s="58"/>
      <c r="AB346" s="58"/>
      <c r="AC346" s="41"/>
      <c r="AD346" s="41"/>
      <c r="AE346" s="41"/>
      <c r="AF346" s="41"/>
      <c r="AG346" s="41"/>
      <c r="AH346" s="53"/>
      <c r="AI346" s="53"/>
      <c r="AJ346" s="53"/>
      <c r="AK346" s="53"/>
      <c r="AL346" s="41"/>
      <c r="AM346" s="41"/>
      <c r="AN346" s="41"/>
      <c r="AO346" s="41"/>
    </row>
    <row r="347" spans="9:41" s="30" customFormat="1">
      <c r="I347" s="69"/>
      <c r="K347" s="44"/>
      <c r="S347" s="41"/>
      <c r="T347" s="53"/>
      <c r="V347" s="53"/>
      <c r="W347" s="53"/>
      <c r="X347" s="53"/>
      <c r="AA347" s="58"/>
      <c r="AB347" s="58"/>
      <c r="AC347" s="41"/>
      <c r="AD347" s="41"/>
      <c r="AE347" s="41"/>
      <c r="AF347" s="41"/>
      <c r="AG347" s="41"/>
      <c r="AH347" s="53"/>
      <c r="AI347" s="53"/>
      <c r="AJ347" s="53"/>
      <c r="AK347" s="53"/>
      <c r="AL347" s="41"/>
      <c r="AM347" s="41"/>
      <c r="AN347" s="41"/>
      <c r="AO347" s="41"/>
    </row>
    <row r="348" spans="9:41" s="30" customFormat="1">
      <c r="I348" s="69"/>
      <c r="K348" s="44"/>
      <c r="S348" s="41"/>
      <c r="T348" s="53"/>
      <c r="V348" s="53"/>
      <c r="W348" s="53"/>
      <c r="X348" s="53"/>
      <c r="AA348" s="58"/>
      <c r="AB348" s="58"/>
      <c r="AC348" s="41"/>
      <c r="AD348" s="41"/>
      <c r="AE348" s="41"/>
      <c r="AF348" s="41"/>
      <c r="AG348" s="41"/>
      <c r="AH348" s="53"/>
      <c r="AI348" s="53"/>
      <c r="AJ348" s="53"/>
      <c r="AK348" s="53"/>
      <c r="AL348" s="41"/>
      <c r="AM348" s="41"/>
      <c r="AN348" s="41"/>
      <c r="AO348" s="41"/>
    </row>
    <row r="349" spans="9:41" s="30" customFormat="1">
      <c r="I349" s="69"/>
      <c r="K349" s="44"/>
      <c r="S349" s="41"/>
      <c r="T349" s="53"/>
      <c r="V349" s="53"/>
      <c r="W349" s="53"/>
      <c r="X349" s="53"/>
      <c r="AA349" s="58"/>
      <c r="AB349" s="58"/>
      <c r="AC349" s="41"/>
      <c r="AD349" s="41"/>
      <c r="AE349" s="41"/>
      <c r="AF349" s="41"/>
      <c r="AG349" s="41"/>
      <c r="AH349" s="53"/>
      <c r="AI349" s="53"/>
      <c r="AJ349" s="53"/>
      <c r="AK349" s="53"/>
      <c r="AL349" s="41"/>
      <c r="AM349" s="41"/>
      <c r="AN349" s="41"/>
      <c r="AO349" s="41"/>
    </row>
    <row r="350" spans="9:41" s="30" customFormat="1">
      <c r="I350" s="69"/>
      <c r="K350" s="44"/>
      <c r="S350" s="41"/>
      <c r="T350" s="53"/>
      <c r="V350" s="53"/>
      <c r="W350" s="53"/>
      <c r="X350" s="53"/>
      <c r="AA350" s="58"/>
      <c r="AB350" s="58"/>
      <c r="AC350" s="41"/>
      <c r="AD350" s="41"/>
      <c r="AE350" s="41"/>
      <c r="AF350" s="41"/>
      <c r="AG350" s="41"/>
      <c r="AH350" s="53"/>
      <c r="AI350" s="53"/>
      <c r="AJ350" s="53"/>
      <c r="AK350" s="53"/>
      <c r="AL350" s="41"/>
      <c r="AM350" s="41"/>
      <c r="AN350" s="41"/>
      <c r="AO350" s="41"/>
    </row>
    <row r="351" spans="9:41" s="30" customFormat="1">
      <c r="I351" s="69"/>
      <c r="K351" s="44"/>
      <c r="S351" s="41"/>
      <c r="T351" s="53"/>
      <c r="V351" s="53"/>
      <c r="W351" s="53"/>
      <c r="X351" s="53"/>
      <c r="AA351" s="58"/>
      <c r="AB351" s="58"/>
      <c r="AC351" s="41"/>
      <c r="AD351" s="41"/>
      <c r="AE351" s="41"/>
      <c r="AF351" s="41"/>
      <c r="AG351" s="41"/>
      <c r="AH351" s="53"/>
      <c r="AI351" s="53"/>
      <c r="AJ351" s="53"/>
      <c r="AK351" s="53"/>
      <c r="AL351" s="41"/>
      <c r="AM351" s="41"/>
      <c r="AN351" s="41"/>
      <c r="AO351" s="41"/>
    </row>
    <row r="352" spans="9:41" s="30" customFormat="1">
      <c r="I352" s="69"/>
      <c r="K352" s="44"/>
      <c r="S352" s="41"/>
      <c r="T352" s="53"/>
      <c r="V352" s="53"/>
      <c r="W352" s="53"/>
      <c r="X352" s="53"/>
      <c r="AA352" s="58"/>
      <c r="AB352" s="58"/>
      <c r="AC352" s="41"/>
      <c r="AD352" s="41"/>
      <c r="AE352" s="41"/>
      <c r="AF352" s="41"/>
      <c r="AG352" s="41"/>
      <c r="AH352" s="53"/>
      <c r="AI352" s="53"/>
      <c r="AJ352" s="53"/>
      <c r="AK352" s="53"/>
      <c r="AL352" s="41"/>
      <c r="AM352" s="41"/>
      <c r="AN352" s="41"/>
      <c r="AO352" s="41"/>
    </row>
    <row r="353" spans="9:41" s="30" customFormat="1">
      <c r="I353" s="69"/>
      <c r="K353" s="44"/>
      <c r="S353" s="41"/>
      <c r="T353" s="53"/>
      <c r="V353" s="53"/>
      <c r="W353" s="53"/>
      <c r="X353" s="53"/>
      <c r="AA353" s="58"/>
      <c r="AB353" s="58"/>
      <c r="AC353" s="41"/>
      <c r="AD353" s="41"/>
      <c r="AE353" s="41"/>
      <c r="AF353" s="41"/>
      <c r="AG353" s="41"/>
      <c r="AH353" s="53"/>
      <c r="AI353" s="53"/>
      <c r="AJ353" s="53"/>
      <c r="AK353" s="53"/>
      <c r="AL353" s="41"/>
      <c r="AM353" s="41"/>
      <c r="AN353" s="41"/>
      <c r="AO353" s="41"/>
    </row>
    <row r="354" spans="9:41" s="30" customFormat="1">
      <c r="I354" s="69"/>
      <c r="K354" s="44"/>
      <c r="S354" s="41"/>
      <c r="T354" s="53"/>
      <c r="V354" s="53"/>
      <c r="W354" s="53"/>
      <c r="X354" s="53"/>
      <c r="AA354" s="58"/>
      <c r="AB354" s="58"/>
      <c r="AC354" s="41"/>
      <c r="AD354" s="41"/>
      <c r="AE354" s="41"/>
      <c r="AF354" s="41"/>
      <c r="AG354" s="41"/>
      <c r="AH354" s="53"/>
      <c r="AI354" s="53"/>
      <c r="AJ354" s="53"/>
      <c r="AK354" s="53"/>
      <c r="AL354" s="41"/>
      <c r="AM354" s="41"/>
      <c r="AN354" s="41"/>
      <c r="AO354" s="41"/>
    </row>
    <row r="355" spans="9:41" s="30" customFormat="1">
      <c r="I355" s="69"/>
      <c r="K355" s="44"/>
      <c r="S355" s="41"/>
      <c r="T355" s="53"/>
      <c r="V355" s="53"/>
      <c r="W355" s="53"/>
      <c r="X355" s="53"/>
      <c r="AA355" s="58"/>
      <c r="AB355" s="58"/>
      <c r="AC355" s="41"/>
      <c r="AD355" s="41"/>
      <c r="AE355" s="41"/>
      <c r="AF355" s="41"/>
      <c r="AG355" s="41"/>
      <c r="AH355" s="53"/>
      <c r="AI355" s="53"/>
      <c r="AJ355" s="53"/>
      <c r="AK355" s="53"/>
      <c r="AL355" s="41"/>
      <c r="AM355" s="41"/>
      <c r="AN355" s="41"/>
      <c r="AO355" s="41"/>
    </row>
    <row r="356" spans="9:41" s="30" customFormat="1">
      <c r="I356" s="69"/>
      <c r="K356" s="44"/>
      <c r="S356" s="41"/>
      <c r="T356" s="53"/>
      <c r="V356" s="53"/>
      <c r="W356" s="53"/>
      <c r="X356" s="53"/>
      <c r="AA356" s="58"/>
      <c r="AB356" s="58"/>
      <c r="AC356" s="41"/>
      <c r="AD356" s="41"/>
      <c r="AE356" s="41"/>
      <c r="AF356" s="41"/>
      <c r="AG356" s="41"/>
      <c r="AH356" s="53"/>
      <c r="AI356" s="53"/>
      <c r="AJ356" s="53"/>
      <c r="AK356" s="53"/>
      <c r="AL356" s="41"/>
      <c r="AM356" s="41"/>
      <c r="AN356" s="41"/>
      <c r="AO356" s="41"/>
    </row>
    <row r="357" spans="9:41" s="30" customFormat="1">
      <c r="I357" s="69"/>
      <c r="K357" s="44"/>
      <c r="S357" s="41"/>
      <c r="T357" s="53"/>
      <c r="V357" s="53"/>
      <c r="W357" s="53"/>
      <c r="X357" s="53"/>
      <c r="AA357" s="58"/>
      <c r="AB357" s="58"/>
      <c r="AC357" s="41"/>
      <c r="AD357" s="41"/>
      <c r="AE357" s="41"/>
      <c r="AF357" s="41"/>
      <c r="AG357" s="41"/>
      <c r="AH357" s="53"/>
      <c r="AI357" s="53"/>
      <c r="AJ357" s="53"/>
      <c r="AK357" s="53"/>
      <c r="AL357" s="41"/>
      <c r="AM357" s="41"/>
      <c r="AN357" s="41"/>
      <c r="AO357" s="41"/>
    </row>
    <row r="358" spans="9:41" s="30" customFormat="1">
      <c r="I358" s="69"/>
      <c r="K358" s="44"/>
      <c r="S358" s="41"/>
      <c r="T358" s="53"/>
      <c r="V358" s="53"/>
      <c r="W358" s="53"/>
      <c r="X358" s="53"/>
      <c r="AA358" s="58"/>
      <c r="AB358" s="58"/>
      <c r="AC358" s="41"/>
      <c r="AD358" s="41"/>
      <c r="AE358" s="41"/>
      <c r="AF358" s="41"/>
      <c r="AG358" s="41"/>
      <c r="AH358" s="53"/>
      <c r="AI358" s="53"/>
      <c r="AJ358" s="53"/>
      <c r="AK358" s="53"/>
      <c r="AL358" s="41"/>
      <c r="AM358" s="41"/>
      <c r="AN358" s="41"/>
      <c r="AO358" s="41"/>
    </row>
    <row r="359" spans="9:41" s="30" customFormat="1">
      <c r="I359" s="69"/>
      <c r="K359" s="44"/>
      <c r="S359" s="41"/>
      <c r="T359" s="53"/>
      <c r="V359" s="53"/>
      <c r="W359" s="53"/>
      <c r="X359" s="53"/>
      <c r="AA359" s="58"/>
      <c r="AB359" s="58"/>
      <c r="AC359" s="41"/>
      <c r="AD359" s="41"/>
      <c r="AE359" s="41"/>
      <c r="AF359" s="41"/>
      <c r="AG359" s="41"/>
      <c r="AH359" s="53"/>
      <c r="AI359" s="53"/>
      <c r="AJ359" s="53"/>
      <c r="AK359" s="53"/>
      <c r="AL359" s="41"/>
      <c r="AM359" s="41"/>
      <c r="AN359" s="41"/>
      <c r="AO359" s="41"/>
    </row>
    <row r="360" spans="9:41" s="30" customFormat="1">
      <c r="I360" s="69"/>
      <c r="K360" s="44"/>
      <c r="S360" s="41"/>
      <c r="T360" s="53"/>
      <c r="V360" s="53"/>
      <c r="W360" s="53"/>
      <c r="X360" s="53"/>
      <c r="AA360" s="58"/>
      <c r="AB360" s="58"/>
      <c r="AC360" s="41"/>
      <c r="AD360" s="41"/>
      <c r="AE360" s="41"/>
      <c r="AF360" s="41"/>
      <c r="AG360" s="41"/>
      <c r="AH360" s="53"/>
      <c r="AI360" s="53"/>
      <c r="AJ360" s="53"/>
      <c r="AK360" s="53"/>
      <c r="AL360" s="41"/>
      <c r="AM360" s="41"/>
      <c r="AN360" s="41"/>
      <c r="AO360" s="41"/>
    </row>
    <row r="361" spans="9:41" s="30" customFormat="1">
      <c r="I361" s="69"/>
      <c r="K361" s="44"/>
      <c r="S361" s="41"/>
      <c r="T361" s="53"/>
      <c r="V361" s="53"/>
      <c r="W361" s="53"/>
      <c r="X361" s="53"/>
      <c r="AA361" s="58"/>
      <c r="AB361" s="58"/>
      <c r="AC361" s="41"/>
      <c r="AD361" s="41"/>
      <c r="AE361" s="41"/>
      <c r="AF361" s="41"/>
      <c r="AG361" s="41"/>
      <c r="AH361" s="53"/>
      <c r="AI361" s="53"/>
      <c r="AJ361" s="53"/>
      <c r="AK361" s="53"/>
      <c r="AL361" s="41"/>
      <c r="AM361" s="41"/>
      <c r="AN361" s="41"/>
      <c r="AO361" s="41"/>
    </row>
    <row r="362" spans="9:41" s="30" customFormat="1">
      <c r="I362" s="69"/>
      <c r="K362" s="44"/>
      <c r="S362" s="41"/>
      <c r="T362" s="53"/>
      <c r="V362" s="53"/>
      <c r="W362" s="53"/>
      <c r="X362" s="53"/>
      <c r="AA362" s="58"/>
      <c r="AB362" s="58"/>
      <c r="AC362" s="41"/>
      <c r="AD362" s="41"/>
      <c r="AE362" s="41"/>
      <c r="AF362" s="41"/>
      <c r="AG362" s="41"/>
      <c r="AH362" s="53"/>
      <c r="AI362" s="53"/>
      <c r="AJ362" s="53"/>
      <c r="AK362" s="53"/>
      <c r="AL362" s="41"/>
      <c r="AM362" s="41"/>
      <c r="AN362" s="41"/>
      <c r="AO362" s="41"/>
    </row>
    <row r="363" spans="9:41" s="30" customFormat="1">
      <c r="I363" s="69"/>
      <c r="K363" s="44"/>
      <c r="S363" s="41"/>
      <c r="T363" s="53"/>
      <c r="V363" s="53"/>
      <c r="W363" s="53"/>
      <c r="X363" s="53"/>
      <c r="AA363" s="58"/>
      <c r="AB363" s="58"/>
      <c r="AC363" s="41"/>
      <c r="AD363" s="41"/>
      <c r="AE363" s="41"/>
      <c r="AF363" s="41"/>
      <c r="AG363" s="41"/>
      <c r="AH363" s="53"/>
      <c r="AI363" s="53"/>
      <c r="AJ363" s="53"/>
      <c r="AK363" s="53"/>
      <c r="AL363" s="41"/>
      <c r="AM363" s="41"/>
      <c r="AN363" s="41"/>
      <c r="AO363" s="41"/>
    </row>
    <row r="364" spans="9:41" s="30" customFormat="1">
      <c r="I364" s="69"/>
      <c r="K364" s="44"/>
      <c r="S364" s="41"/>
      <c r="T364" s="53"/>
      <c r="V364" s="53"/>
      <c r="W364" s="53"/>
      <c r="X364" s="53"/>
      <c r="AA364" s="58"/>
      <c r="AB364" s="58"/>
      <c r="AC364" s="41"/>
      <c r="AD364" s="41"/>
      <c r="AE364" s="41"/>
      <c r="AF364" s="41"/>
      <c r="AG364" s="41"/>
      <c r="AH364" s="53"/>
      <c r="AI364" s="53"/>
      <c r="AJ364" s="53"/>
      <c r="AK364" s="53"/>
      <c r="AL364" s="41"/>
      <c r="AM364" s="41"/>
      <c r="AN364" s="41"/>
      <c r="AO364" s="41"/>
    </row>
    <row r="365" spans="9:41" s="30" customFormat="1">
      <c r="I365" s="69"/>
      <c r="K365" s="44"/>
      <c r="S365" s="41"/>
      <c r="T365" s="53"/>
      <c r="V365" s="53"/>
      <c r="W365" s="53"/>
      <c r="X365" s="53"/>
      <c r="AA365" s="58"/>
      <c r="AB365" s="58"/>
      <c r="AC365" s="41"/>
      <c r="AD365" s="41"/>
      <c r="AE365" s="41"/>
      <c r="AF365" s="41"/>
      <c r="AG365" s="41"/>
      <c r="AH365" s="53"/>
      <c r="AI365" s="53"/>
      <c r="AJ365" s="53"/>
      <c r="AK365" s="53"/>
      <c r="AL365" s="41"/>
      <c r="AM365" s="41"/>
      <c r="AN365" s="41"/>
      <c r="AO365" s="41"/>
    </row>
    <row r="366" spans="9:41" s="30" customFormat="1">
      <c r="I366" s="69"/>
      <c r="K366" s="44"/>
      <c r="S366" s="41"/>
      <c r="T366" s="53"/>
      <c r="V366" s="53"/>
      <c r="W366" s="53"/>
      <c r="X366" s="53"/>
      <c r="AA366" s="58"/>
      <c r="AB366" s="58"/>
      <c r="AC366" s="41"/>
      <c r="AD366" s="41"/>
      <c r="AE366" s="41"/>
      <c r="AF366" s="41"/>
      <c r="AG366" s="41"/>
      <c r="AH366" s="53"/>
      <c r="AI366" s="53"/>
      <c r="AJ366" s="53"/>
      <c r="AK366" s="53"/>
      <c r="AL366" s="41"/>
      <c r="AM366" s="41"/>
      <c r="AN366" s="41"/>
      <c r="AO366" s="41"/>
    </row>
    <row r="367" spans="9:41" s="30" customFormat="1">
      <c r="I367" s="69"/>
      <c r="K367" s="44"/>
      <c r="S367" s="41"/>
      <c r="T367" s="53"/>
      <c r="V367" s="53"/>
      <c r="W367" s="53"/>
      <c r="X367" s="53"/>
      <c r="AA367" s="58"/>
      <c r="AB367" s="58"/>
      <c r="AC367" s="41"/>
      <c r="AD367" s="41"/>
      <c r="AE367" s="41"/>
      <c r="AF367" s="41"/>
      <c r="AG367" s="41"/>
      <c r="AH367" s="53"/>
      <c r="AI367" s="53"/>
      <c r="AJ367" s="53"/>
      <c r="AK367" s="53"/>
      <c r="AL367" s="41"/>
      <c r="AM367" s="41"/>
      <c r="AN367" s="41"/>
      <c r="AO367" s="41"/>
    </row>
    <row r="368" spans="9:41" s="30" customFormat="1">
      <c r="I368" s="69"/>
      <c r="K368" s="44"/>
      <c r="S368" s="41"/>
      <c r="T368" s="53"/>
      <c r="V368" s="53"/>
      <c r="W368" s="53"/>
      <c r="X368" s="53"/>
      <c r="AA368" s="58"/>
      <c r="AB368" s="58"/>
      <c r="AC368" s="41"/>
      <c r="AD368" s="41"/>
      <c r="AE368" s="41"/>
      <c r="AF368" s="41"/>
      <c r="AG368" s="41"/>
      <c r="AH368" s="53"/>
      <c r="AI368" s="53"/>
      <c r="AJ368" s="53"/>
      <c r="AK368" s="53"/>
      <c r="AL368" s="41"/>
      <c r="AM368" s="41"/>
      <c r="AN368" s="41"/>
      <c r="AO368" s="41"/>
    </row>
    <row r="369" spans="9:41" s="30" customFormat="1">
      <c r="I369" s="69"/>
      <c r="K369" s="44"/>
      <c r="S369" s="41"/>
      <c r="T369" s="53"/>
      <c r="V369" s="53"/>
      <c r="W369" s="53"/>
      <c r="X369" s="53"/>
      <c r="AA369" s="58"/>
      <c r="AB369" s="58"/>
      <c r="AC369" s="41"/>
      <c r="AD369" s="41"/>
      <c r="AE369" s="41"/>
      <c r="AF369" s="41"/>
      <c r="AG369" s="41"/>
      <c r="AH369" s="53"/>
      <c r="AI369" s="53"/>
      <c r="AJ369" s="53"/>
      <c r="AK369" s="53"/>
      <c r="AL369" s="41"/>
      <c r="AM369" s="41"/>
      <c r="AN369" s="41"/>
      <c r="AO369" s="41"/>
    </row>
    <row r="370" spans="9:41" s="30" customFormat="1">
      <c r="I370" s="69"/>
      <c r="K370" s="44"/>
      <c r="S370" s="41"/>
      <c r="T370" s="53"/>
      <c r="V370" s="53"/>
      <c r="W370" s="53"/>
      <c r="X370" s="53"/>
      <c r="AA370" s="58"/>
      <c r="AB370" s="58"/>
      <c r="AC370" s="41"/>
      <c r="AD370" s="41"/>
      <c r="AE370" s="41"/>
      <c r="AF370" s="41"/>
      <c r="AG370" s="41"/>
      <c r="AH370" s="53"/>
      <c r="AI370" s="53"/>
      <c r="AJ370" s="53"/>
      <c r="AK370" s="53"/>
      <c r="AL370" s="41"/>
      <c r="AM370" s="41"/>
      <c r="AN370" s="41"/>
      <c r="AO370" s="41"/>
    </row>
    <row r="371" spans="9:41" s="30" customFormat="1">
      <c r="I371" s="69"/>
      <c r="K371" s="44"/>
      <c r="S371" s="41"/>
      <c r="T371" s="53"/>
      <c r="V371" s="53"/>
      <c r="W371" s="53"/>
      <c r="X371" s="53"/>
      <c r="AA371" s="58"/>
      <c r="AB371" s="58"/>
      <c r="AC371" s="41"/>
      <c r="AD371" s="41"/>
      <c r="AE371" s="41"/>
      <c r="AF371" s="41"/>
      <c r="AG371" s="41"/>
      <c r="AH371" s="53"/>
      <c r="AI371" s="53"/>
      <c r="AJ371" s="53"/>
      <c r="AK371" s="53"/>
      <c r="AL371" s="41"/>
      <c r="AM371" s="41"/>
      <c r="AN371" s="41"/>
      <c r="AO371" s="41"/>
    </row>
    <row r="372" spans="9:41" s="30" customFormat="1">
      <c r="I372" s="69"/>
      <c r="K372" s="44"/>
      <c r="S372" s="41"/>
      <c r="T372" s="53"/>
      <c r="V372" s="53"/>
      <c r="W372" s="53"/>
      <c r="X372" s="53"/>
      <c r="AA372" s="58"/>
      <c r="AB372" s="58"/>
      <c r="AC372" s="41"/>
      <c r="AD372" s="41"/>
      <c r="AE372" s="41"/>
      <c r="AF372" s="41"/>
      <c r="AG372" s="41"/>
      <c r="AH372" s="53"/>
      <c r="AI372" s="53"/>
      <c r="AJ372" s="53"/>
      <c r="AK372" s="53"/>
      <c r="AL372" s="41"/>
      <c r="AM372" s="41"/>
      <c r="AN372" s="41"/>
      <c r="AO372" s="41"/>
    </row>
    <row r="373" spans="9:41" s="30" customFormat="1">
      <c r="I373" s="69"/>
      <c r="K373" s="44"/>
      <c r="S373" s="41"/>
      <c r="T373" s="53"/>
      <c r="V373" s="53"/>
      <c r="W373" s="53"/>
      <c r="X373" s="53"/>
      <c r="AA373" s="58"/>
      <c r="AB373" s="58"/>
      <c r="AC373" s="41"/>
      <c r="AD373" s="41"/>
      <c r="AE373" s="41"/>
      <c r="AF373" s="41"/>
      <c r="AG373" s="41"/>
      <c r="AH373" s="53"/>
      <c r="AI373" s="53"/>
      <c r="AJ373" s="53"/>
      <c r="AK373" s="53"/>
      <c r="AL373" s="41"/>
      <c r="AM373" s="41"/>
      <c r="AN373" s="41"/>
      <c r="AO373" s="41"/>
    </row>
    <row r="374" spans="9:41" s="30" customFormat="1">
      <c r="I374" s="69"/>
      <c r="K374" s="44"/>
      <c r="S374" s="41"/>
      <c r="T374" s="53"/>
      <c r="V374" s="53"/>
      <c r="W374" s="53"/>
      <c r="X374" s="53"/>
      <c r="AA374" s="58"/>
      <c r="AB374" s="58"/>
      <c r="AC374" s="41"/>
      <c r="AD374" s="41"/>
      <c r="AE374" s="41"/>
      <c r="AF374" s="41"/>
      <c r="AG374" s="41"/>
      <c r="AH374" s="53"/>
      <c r="AI374" s="53"/>
      <c r="AJ374" s="53"/>
      <c r="AK374" s="53"/>
      <c r="AL374" s="41"/>
      <c r="AM374" s="41"/>
      <c r="AN374" s="41"/>
      <c r="AO374" s="41"/>
    </row>
    <row r="375" spans="9:41" s="30" customFormat="1">
      <c r="I375" s="69"/>
      <c r="K375" s="44"/>
      <c r="S375" s="41"/>
      <c r="T375" s="53"/>
      <c r="V375" s="53"/>
      <c r="W375" s="53"/>
      <c r="X375" s="53"/>
      <c r="AA375" s="58"/>
      <c r="AB375" s="58"/>
      <c r="AC375" s="41"/>
      <c r="AD375" s="41"/>
      <c r="AE375" s="41"/>
      <c r="AF375" s="41"/>
      <c r="AG375" s="41"/>
      <c r="AH375" s="53"/>
      <c r="AI375" s="53"/>
      <c r="AJ375" s="53"/>
      <c r="AK375" s="53"/>
      <c r="AL375" s="41"/>
      <c r="AM375" s="41"/>
      <c r="AN375" s="41"/>
      <c r="AO375" s="41"/>
    </row>
    <row r="376" spans="9:41" s="30" customFormat="1">
      <c r="I376" s="69"/>
      <c r="K376" s="44"/>
      <c r="S376" s="41"/>
      <c r="T376" s="53"/>
      <c r="V376" s="53"/>
      <c r="W376" s="53"/>
      <c r="X376" s="53"/>
      <c r="AA376" s="58"/>
      <c r="AB376" s="58"/>
      <c r="AC376" s="41"/>
      <c r="AD376" s="41"/>
      <c r="AE376" s="41"/>
      <c r="AF376" s="41"/>
      <c r="AG376" s="41"/>
      <c r="AH376" s="53"/>
      <c r="AI376" s="53"/>
      <c r="AJ376" s="53"/>
      <c r="AK376" s="53"/>
      <c r="AL376" s="41"/>
      <c r="AM376" s="41"/>
      <c r="AN376" s="41"/>
      <c r="AO376" s="41"/>
    </row>
    <row r="377" spans="9:41" s="30" customFormat="1">
      <c r="I377" s="69"/>
      <c r="K377" s="44"/>
      <c r="S377" s="41"/>
      <c r="T377" s="53"/>
      <c r="V377" s="53"/>
      <c r="W377" s="53"/>
      <c r="X377" s="53"/>
      <c r="AA377" s="58"/>
      <c r="AB377" s="58"/>
      <c r="AC377" s="41"/>
      <c r="AD377" s="41"/>
      <c r="AE377" s="41"/>
      <c r="AF377" s="41"/>
      <c r="AG377" s="41"/>
      <c r="AH377" s="53"/>
      <c r="AI377" s="53"/>
      <c r="AJ377" s="53"/>
      <c r="AK377" s="53"/>
      <c r="AL377" s="41"/>
      <c r="AM377" s="41"/>
      <c r="AN377" s="41"/>
      <c r="AO377" s="41"/>
    </row>
    <row r="378" spans="9:41" s="30" customFormat="1">
      <c r="I378" s="69"/>
      <c r="K378" s="44"/>
      <c r="S378" s="41"/>
      <c r="T378" s="53"/>
      <c r="V378" s="53"/>
      <c r="W378" s="53"/>
      <c r="X378" s="53"/>
      <c r="AA378" s="58"/>
      <c r="AB378" s="58"/>
      <c r="AC378" s="41"/>
      <c r="AD378" s="41"/>
      <c r="AE378" s="41"/>
      <c r="AF378" s="41"/>
      <c r="AG378" s="41"/>
      <c r="AH378" s="53"/>
      <c r="AI378" s="53"/>
      <c r="AJ378" s="53"/>
      <c r="AK378" s="53"/>
      <c r="AL378" s="41"/>
      <c r="AM378" s="41"/>
      <c r="AN378" s="41"/>
      <c r="AO378" s="41"/>
    </row>
    <row r="379" spans="9:41" s="30" customFormat="1">
      <c r="I379" s="69"/>
      <c r="K379" s="44"/>
      <c r="S379" s="41"/>
      <c r="T379" s="53"/>
      <c r="V379" s="53"/>
      <c r="W379" s="53"/>
      <c r="X379" s="53"/>
      <c r="AA379" s="58"/>
      <c r="AB379" s="58"/>
      <c r="AC379" s="41"/>
      <c r="AD379" s="41"/>
      <c r="AE379" s="41"/>
      <c r="AF379" s="41"/>
      <c r="AG379" s="41"/>
      <c r="AH379" s="53"/>
      <c r="AI379" s="53"/>
      <c r="AJ379" s="53"/>
      <c r="AK379" s="53"/>
      <c r="AL379" s="41"/>
      <c r="AM379" s="41"/>
      <c r="AN379" s="41"/>
      <c r="AO379" s="41"/>
    </row>
    <row r="380" spans="9:41" s="30" customFormat="1">
      <c r="I380" s="69"/>
      <c r="K380" s="44"/>
      <c r="S380" s="41"/>
      <c r="T380" s="53"/>
      <c r="V380" s="53"/>
      <c r="W380" s="53"/>
      <c r="X380" s="53"/>
      <c r="AA380" s="58"/>
      <c r="AB380" s="58"/>
      <c r="AC380" s="41"/>
      <c r="AD380" s="41"/>
      <c r="AE380" s="41"/>
      <c r="AF380" s="41"/>
      <c r="AG380" s="41"/>
      <c r="AH380" s="53"/>
      <c r="AI380" s="53"/>
      <c r="AJ380" s="53"/>
      <c r="AK380" s="53"/>
      <c r="AL380" s="41"/>
      <c r="AM380" s="41"/>
      <c r="AN380" s="41"/>
      <c r="AO380" s="41"/>
    </row>
    <row r="381" spans="9:41" s="30" customFormat="1">
      <c r="I381" s="69"/>
      <c r="K381" s="44"/>
      <c r="S381" s="41"/>
      <c r="T381" s="53"/>
      <c r="V381" s="53"/>
      <c r="W381" s="53"/>
      <c r="X381" s="53"/>
      <c r="AA381" s="58"/>
      <c r="AB381" s="58"/>
      <c r="AC381" s="41"/>
      <c r="AD381" s="41"/>
      <c r="AE381" s="41"/>
      <c r="AF381" s="41"/>
      <c r="AG381" s="41"/>
      <c r="AH381" s="53"/>
      <c r="AI381" s="53"/>
      <c r="AJ381" s="53"/>
      <c r="AK381" s="53"/>
      <c r="AL381" s="41"/>
      <c r="AM381" s="41"/>
      <c r="AN381" s="41"/>
      <c r="AO381" s="41"/>
    </row>
    <row r="382" spans="9:41" s="30" customFormat="1">
      <c r="I382" s="69"/>
      <c r="K382" s="44"/>
      <c r="S382" s="41"/>
      <c r="T382" s="53"/>
      <c r="V382" s="53"/>
      <c r="W382" s="53"/>
      <c r="X382" s="53"/>
      <c r="AA382" s="58"/>
      <c r="AB382" s="58"/>
      <c r="AC382" s="41"/>
      <c r="AD382" s="41"/>
      <c r="AE382" s="41"/>
      <c r="AF382" s="41"/>
      <c r="AG382" s="41"/>
      <c r="AH382" s="53"/>
      <c r="AI382" s="53"/>
      <c r="AJ382" s="53"/>
      <c r="AK382" s="53"/>
      <c r="AL382" s="41"/>
      <c r="AM382" s="41"/>
      <c r="AN382" s="41"/>
      <c r="AO382" s="41"/>
    </row>
    <row r="383" spans="9:41" s="30" customFormat="1">
      <c r="I383" s="69"/>
      <c r="K383" s="44"/>
      <c r="S383" s="41"/>
      <c r="T383" s="53"/>
      <c r="V383" s="53"/>
      <c r="W383" s="53"/>
      <c r="X383" s="53"/>
      <c r="AA383" s="58"/>
      <c r="AB383" s="58"/>
      <c r="AC383" s="41"/>
      <c r="AD383" s="41"/>
      <c r="AE383" s="41"/>
      <c r="AF383" s="41"/>
      <c r="AG383" s="41"/>
      <c r="AH383" s="53"/>
      <c r="AI383" s="53"/>
      <c r="AJ383" s="53"/>
      <c r="AK383" s="53"/>
      <c r="AL383" s="41"/>
      <c r="AM383" s="41"/>
      <c r="AN383" s="41"/>
      <c r="AO383" s="41"/>
    </row>
    <row r="384" spans="9:41" s="30" customFormat="1">
      <c r="I384" s="69"/>
      <c r="K384" s="44"/>
      <c r="S384" s="41"/>
      <c r="T384" s="53"/>
      <c r="V384" s="53"/>
      <c r="W384" s="53"/>
      <c r="X384" s="53"/>
      <c r="AA384" s="58"/>
      <c r="AB384" s="58"/>
      <c r="AC384" s="41"/>
      <c r="AD384" s="41"/>
      <c r="AE384" s="41"/>
      <c r="AF384" s="41"/>
      <c r="AG384" s="41"/>
      <c r="AH384" s="53"/>
      <c r="AI384" s="53"/>
      <c r="AJ384" s="53"/>
      <c r="AK384" s="53"/>
      <c r="AL384" s="41"/>
      <c r="AM384" s="41"/>
      <c r="AN384" s="41"/>
      <c r="AO384" s="41"/>
    </row>
    <row r="385" spans="9:41" s="30" customFormat="1">
      <c r="I385" s="69"/>
      <c r="K385" s="44"/>
      <c r="S385" s="41"/>
      <c r="T385" s="53"/>
      <c r="V385" s="53"/>
      <c r="W385" s="53"/>
      <c r="X385" s="53"/>
      <c r="AA385" s="58"/>
      <c r="AB385" s="58"/>
      <c r="AC385" s="41"/>
      <c r="AD385" s="41"/>
      <c r="AE385" s="41"/>
      <c r="AF385" s="41"/>
      <c r="AG385" s="41"/>
      <c r="AH385" s="53"/>
      <c r="AI385" s="53"/>
      <c r="AJ385" s="53"/>
      <c r="AK385" s="53"/>
      <c r="AL385" s="41"/>
      <c r="AM385" s="41"/>
      <c r="AN385" s="41"/>
      <c r="AO385" s="41"/>
    </row>
    <row r="386" spans="9:41" s="30" customFormat="1">
      <c r="I386" s="69"/>
      <c r="K386" s="44"/>
      <c r="S386" s="41"/>
      <c r="T386" s="53"/>
      <c r="V386" s="53"/>
      <c r="W386" s="53"/>
      <c r="X386" s="53"/>
      <c r="AA386" s="58"/>
      <c r="AB386" s="58"/>
      <c r="AC386" s="41"/>
      <c r="AD386" s="41"/>
      <c r="AE386" s="41"/>
      <c r="AF386" s="41"/>
      <c r="AG386" s="41"/>
      <c r="AH386" s="53"/>
      <c r="AI386" s="53"/>
      <c r="AJ386" s="53"/>
      <c r="AK386" s="53"/>
      <c r="AL386" s="41"/>
      <c r="AM386" s="41"/>
      <c r="AN386" s="41"/>
      <c r="AO386" s="41"/>
    </row>
    <row r="387" spans="9:41" s="30" customFormat="1">
      <c r="I387" s="69"/>
      <c r="K387" s="44"/>
      <c r="S387" s="41"/>
      <c r="T387" s="53"/>
      <c r="V387" s="53"/>
      <c r="W387" s="53"/>
      <c r="X387" s="53"/>
      <c r="AA387" s="58"/>
      <c r="AB387" s="58"/>
      <c r="AC387" s="41"/>
      <c r="AD387" s="41"/>
      <c r="AE387" s="41"/>
      <c r="AF387" s="41"/>
      <c r="AG387" s="41"/>
      <c r="AH387" s="53"/>
      <c r="AI387" s="53"/>
      <c r="AJ387" s="53"/>
      <c r="AK387" s="53"/>
      <c r="AL387" s="41"/>
      <c r="AM387" s="41"/>
      <c r="AN387" s="41"/>
      <c r="AO387" s="41"/>
    </row>
    <row r="388" spans="9:41" s="30" customFormat="1">
      <c r="I388" s="69"/>
      <c r="K388" s="44"/>
      <c r="S388" s="41"/>
      <c r="T388" s="53"/>
      <c r="V388" s="53"/>
      <c r="W388" s="53"/>
      <c r="X388" s="53"/>
      <c r="AA388" s="58"/>
      <c r="AB388" s="58"/>
      <c r="AC388" s="41"/>
      <c r="AD388" s="41"/>
      <c r="AE388" s="41"/>
      <c r="AF388" s="41"/>
      <c r="AG388" s="41"/>
      <c r="AH388" s="53"/>
      <c r="AI388" s="53"/>
      <c r="AJ388" s="53"/>
      <c r="AK388" s="53"/>
      <c r="AL388" s="41"/>
      <c r="AM388" s="41"/>
      <c r="AN388" s="41"/>
      <c r="AO388" s="41"/>
    </row>
    <row r="389" spans="9:41" s="30" customFormat="1">
      <c r="I389" s="69"/>
      <c r="K389" s="44"/>
      <c r="S389" s="41"/>
      <c r="T389" s="53"/>
      <c r="V389" s="53"/>
      <c r="W389" s="53"/>
      <c r="X389" s="53"/>
      <c r="AA389" s="58"/>
      <c r="AB389" s="58"/>
      <c r="AC389" s="41"/>
      <c r="AD389" s="41"/>
      <c r="AE389" s="41"/>
      <c r="AF389" s="41"/>
      <c r="AG389" s="41"/>
      <c r="AH389" s="53"/>
      <c r="AI389" s="53"/>
      <c r="AJ389" s="53"/>
      <c r="AK389" s="53"/>
      <c r="AL389" s="41"/>
      <c r="AM389" s="41"/>
      <c r="AN389" s="41"/>
      <c r="AO389" s="41"/>
    </row>
    <row r="390" spans="9:41" s="30" customFormat="1">
      <c r="I390" s="69"/>
      <c r="K390" s="44"/>
      <c r="S390" s="41"/>
      <c r="T390" s="53"/>
      <c r="V390" s="53"/>
      <c r="W390" s="53"/>
      <c r="X390" s="53"/>
      <c r="AA390" s="58"/>
      <c r="AB390" s="58"/>
      <c r="AC390" s="41"/>
      <c r="AD390" s="41"/>
      <c r="AE390" s="41"/>
      <c r="AF390" s="41"/>
      <c r="AG390" s="41"/>
      <c r="AH390" s="53"/>
      <c r="AI390" s="53"/>
      <c r="AJ390" s="53"/>
      <c r="AK390" s="53"/>
      <c r="AL390" s="41"/>
      <c r="AM390" s="41"/>
      <c r="AN390" s="41"/>
      <c r="AO390" s="41"/>
    </row>
    <row r="391" spans="9:41" s="30" customFormat="1">
      <c r="I391" s="69"/>
      <c r="K391" s="44"/>
      <c r="S391" s="41"/>
      <c r="T391" s="53"/>
      <c r="V391" s="53"/>
      <c r="W391" s="53"/>
      <c r="X391" s="53"/>
      <c r="AA391" s="58"/>
      <c r="AB391" s="58"/>
      <c r="AC391" s="41"/>
      <c r="AD391" s="41"/>
      <c r="AE391" s="41"/>
      <c r="AF391" s="41"/>
      <c r="AG391" s="41"/>
      <c r="AH391" s="53"/>
      <c r="AI391" s="53"/>
      <c r="AJ391" s="53"/>
      <c r="AK391" s="53"/>
      <c r="AL391" s="41"/>
      <c r="AM391" s="41"/>
      <c r="AN391" s="41"/>
      <c r="AO391" s="41"/>
    </row>
    <row r="392" spans="9:41" s="30" customFormat="1">
      <c r="I392" s="69"/>
      <c r="K392" s="44"/>
      <c r="S392" s="41"/>
      <c r="T392" s="53"/>
      <c r="V392" s="53"/>
      <c r="W392" s="53"/>
      <c r="X392" s="53"/>
      <c r="AA392" s="58"/>
      <c r="AB392" s="58"/>
      <c r="AC392" s="41"/>
      <c r="AD392" s="41"/>
      <c r="AE392" s="41"/>
      <c r="AF392" s="41"/>
      <c r="AG392" s="41"/>
      <c r="AH392" s="53"/>
      <c r="AI392" s="53"/>
      <c r="AJ392" s="53"/>
      <c r="AK392" s="53"/>
      <c r="AL392" s="41"/>
      <c r="AM392" s="41"/>
      <c r="AN392" s="41"/>
      <c r="AO392" s="41"/>
    </row>
    <row r="393" spans="9:41" s="30" customFormat="1">
      <c r="I393" s="69"/>
      <c r="K393" s="44"/>
      <c r="S393" s="41"/>
      <c r="T393" s="53"/>
      <c r="V393" s="53"/>
      <c r="W393" s="53"/>
      <c r="X393" s="53"/>
      <c r="AA393" s="58"/>
      <c r="AB393" s="58"/>
      <c r="AC393" s="41"/>
      <c r="AD393" s="41"/>
      <c r="AE393" s="41"/>
      <c r="AF393" s="41"/>
      <c r="AG393" s="41"/>
      <c r="AH393" s="53"/>
      <c r="AI393" s="53"/>
      <c r="AJ393" s="53"/>
      <c r="AK393" s="53"/>
      <c r="AL393" s="41"/>
      <c r="AM393" s="41"/>
      <c r="AN393" s="41"/>
      <c r="AO393" s="41"/>
    </row>
    <row r="394" spans="9:41" s="30" customFormat="1">
      <c r="I394" s="69"/>
      <c r="K394" s="44"/>
      <c r="S394" s="41"/>
      <c r="T394" s="53"/>
      <c r="V394" s="53"/>
      <c r="W394" s="53"/>
      <c r="X394" s="53"/>
      <c r="AA394" s="58"/>
      <c r="AB394" s="58"/>
      <c r="AC394" s="41"/>
      <c r="AD394" s="41"/>
      <c r="AE394" s="41"/>
      <c r="AF394" s="41"/>
      <c r="AG394" s="41"/>
      <c r="AH394" s="53"/>
      <c r="AI394" s="53"/>
      <c r="AJ394" s="53"/>
      <c r="AK394" s="53"/>
      <c r="AL394" s="41"/>
      <c r="AM394" s="41"/>
      <c r="AN394" s="41"/>
      <c r="AO394" s="41"/>
    </row>
    <row r="395" spans="9:41" s="30" customFormat="1">
      <c r="I395" s="69"/>
      <c r="K395" s="44"/>
      <c r="S395" s="41"/>
      <c r="T395" s="53"/>
      <c r="V395" s="53"/>
      <c r="W395" s="53"/>
      <c r="X395" s="53"/>
      <c r="AA395" s="58"/>
      <c r="AB395" s="58"/>
      <c r="AC395" s="41"/>
      <c r="AD395" s="41"/>
      <c r="AE395" s="41"/>
      <c r="AF395" s="41"/>
      <c r="AG395" s="41"/>
      <c r="AH395" s="53"/>
      <c r="AI395" s="53"/>
      <c r="AJ395" s="53"/>
      <c r="AK395" s="53"/>
      <c r="AL395" s="41"/>
      <c r="AM395" s="41"/>
      <c r="AN395" s="41"/>
      <c r="AO395" s="41"/>
    </row>
    <row r="396" spans="9:41" s="30" customFormat="1">
      <c r="I396" s="69"/>
      <c r="K396" s="44"/>
      <c r="S396" s="41"/>
      <c r="T396" s="53"/>
      <c r="V396" s="53"/>
      <c r="W396" s="53"/>
      <c r="X396" s="53"/>
      <c r="AA396" s="58"/>
      <c r="AB396" s="58"/>
      <c r="AC396" s="41"/>
      <c r="AD396" s="41"/>
      <c r="AE396" s="41"/>
      <c r="AF396" s="41"/>
      <c r="AG396" s="41"/>
      <c r="AH396" s="53"/>
      <c r="AI396" s="53"/>
      <c r="AJ396" s="53"/>
      <c r="AK396" s="53"/>
      <c r="AL396" s="41"/>
      <c r="AM396" s="41"/>
      <c r="AN396" s="41"/>
      <c r="AO396" s="41"/>
    </row>
    <row r="397" spans="9:41" s="30" customFormat="1">
      <c r="I397" s="69"/>
      <c r="K397" s="44"/>
      <c r="S397" s="41"/>
      <c r="T397" s="53"/>
      <c r="V397" s="53"/>
      <c r="W397" s="53"/>
      <c r="X397" s="53"/>
      <c r="AA397" s="58"/>
      <c r="AB397" s="58"/>
      <c r="AC397" s="41"/>
      <c r="AD397" s="41"/>
      <c r="AE397" s="41"/>
      <c r="AF397" s="41"/>
      <c r="AG397" s="41"/>
      <c r="AH397" s="53"/>
      <c r="AI397" s="53"/>
      <c r="AJ397" s="53"/>
      <c r="AK397" s="53"/>
      <c r="AL397" s="41"/>
      <c r="AM397" s="41"/>
      <c r="AN397" s="41"/>
      <c r="AO397" s="41"/>
    </row>
    <row r="398" spans="9:41" s="30" customFormat="1">
      <c r="I398" s="69"/>
      <c r="K398" s="44"/>
      <c r="S398" s="41"/>
      <c r="T398" s="53"/>
      <c r="V398" s="53"/>
      <c r="W398" s="53"/>
      <c r="X398" s="53"/>
      <c r="AA398" s="58"/>
      <c r="AB398" s="58"/>
      <c r="AC398" s="41"/>
      <c r="AD398" s="41"/>
      <c r="AE398" s="41"/>
      <c r="AF398" s="41"/>
      <c r="AG398" s="41"/>
      <c r="AH398" s="53"/>
      <c r="AI398" s="53"/>
      <c r="AJ398" s="53"/>
      <c r="AK398" s="53"/>
      <c r="AL398" s="41"/>
      <c r="AM398" s="41"/>
      <c r="AN398" s="41"/>
      <c r="AO398" s="41"/>
    </row>
    <row r="399" spans="9:41" s="30" customFormat="1">
      <c r="I399" s="69"/>
      <c r="K399" s="44"/>
      <c r="S399" s="41"/>
      <c r="T399" s="53"/>
      <c r="V399" s="53"/>
      <c r="W399" s="53"/>
      <c r="X399" s="53"/>
      <c r="AA399" s="58"/>
      <c r="AB399" s="58"/>
      <c r="AC399" s="41"/>
      <c r="AD399" s="41"/>
      <c r="AE399" s="41"/>
      <c r="AF399" s="41"/>
      <c r="AG399" s="41"/>
      <c r="AH399" s="53"/>
      <c r="AI399" s="53"/>
      <c r="AJ399" s="53"/>
      <c r="AK399" s="53"/>
      <c r="AL399" s="41"/>
      <c r="AM399" s="41"/>
      <c r="AN399" s="41"/>
      <c r="AO399" s="41"/>
    </row>
    <row r="400" spans="9:41" s="30" customFormat="1">
      <c r="I400" s="69"/>
      <c r="K400" s="44"/>
      <c r="S400" s="41"/>
      <c r="T400" s="53"/>
      <c r="V400" s="53"/>
      <c r="W400" s="53"/>
      <c r="X400" s="53"/>
      <c r="AA400" s="58"/>
      <c r="AB400" s="58"/>
      <c r="AC400" s="41"/>
      <c r="AD400" s="41"/>
      <c r="AE400" s="41"/>
      <c r="AF400" s="41"/>
      <c r="AG400" s="41"/>
      <c r="AH400" s="53"/>
      <c r="AI400" s="53"/>
      <c r="AJ400" s="53"/>
      <c r="AK400" s="53"/>
      <c r="AL400" s="41"/>
      <c r="AM400" s="41"/>
      <c r="AN400" s="41"/>
      <c r="AO400" s="41"/>
    </row>
    <row r="401" spans="9:41" s="30" customFormat="1">
      <c r="I401" s="69"/>
      <c r="K401" s="44"/>
      <c r="S401" s="41"/>
      <c r="T401" s="53"/>
      <c r="V401" s="53"/>
      <c r="W401" s="53"/>
      <c r="X401" s="53"/>
      <c r="AA401" s="58"/>
      <c r="AB401" s="58"/>
      <c r="AC401" s="41"/>
      <c r="AD401" s="41"/>
      <c r="AE401" s="41"/>
      <c r="AF401" s="41"/>
      <c r="AG401" s="41"/>
      <c r="AH401" s="53"/>
      <c r="AI401" s="53"/>
      <c r="AJ401" s="53"/>
      <c r="AK401" s="53"/>
      <c r="AL401" s="41"/>
      <c r="AM401" s="41"/>
      <c r="AN401" s="41"/>
      <c r="AO401" s="41"/>
    </row>
    <row r="402" spans="9:41" s="30" customFormat="1">
      <c r="I402" s="69"/>
      <c r="K402" s="44"/>
      <c r="S402" s="41"/>
      <c r="T402" s="53"/>
      <c r="V402" s="53"/>
      <c r="W402" s="53"/>
      <c r="X402" s="53"/>
      <c r="AA402" s="58"/>
      <c r="AB402" s="58"/>
      <c r="AC402" s="41"/>
      <c r="AD402" s="41"/>
      <c r="AE402" s="41"/>
      <c r="AF402" s="41"/>
      <c r="AG402" s="41"/>
      <c r="AH402" s="53"/>
      <c r="AI402" s="53"/>
      <c r="AJ402" s="53"/>
      <c r="AK402" s="53"/>
      <c r="AL402" s="41"/>
      <c r="AM402" s="41"/>
      <c r="AN402" s="41"/>
      <c r="AO402" s="41"/>
    </row>
    <row r="403" spans="9:41" s="30" customFormat="1">
      <c r="I403" s="69"/>
      <c r="K403" s="44"/>
      <c r="S403" s="41"/>
      <c r="T403" s="53"/>
      <c r="V403" s="53"/>
      <c r="W403" s="53"/>
      <c r="X403" s="53"/>
      <c r="AA403" s="58"/>
      <c r="AB403" s="58"/>
      <c r="AC403" s="41"/>
      <c r="AD403" s="41"/>
      <c r="AE403" s="41"/>
      <c r="AF403" s="41"/>
      <c r="AG403" s="41"/>
      <c r="AH403" s="53"/>
      <c r="AI403" s="53"/>
      <c r="AJ403" s="53"/>
      <c r="AK403" s="53"/>
      <c r="AL403" s="41"/>
      <c r="AM403" s="41"/>
      <c r="AN403" s="41"/>
      <c r="AO403" s="41"/>
    </row>
    <row r="404" spans="9:41" s="30" customFormat="1">
      <c r="I404" s="69"/>
      <c r="K404" s="44"/>
      <c r="S404" s="41"/>
      <c r="T404" s="53"/>
      <c r="V404" s="53"/>
      <c r="W404" s="53"/>
      <c r="X404" s="53"/>
      <c r="AA404" s="58"/>
      <c r="AB404" s="58"/>
      <c r="AC404" s="41"/>
      <c r="AD404" s="41"/>
      <c r="AE404" s="41"/>
      <c r="AF404" s="41"/>
      <c r="AG404" s="41"/>
      <c r="AH404" s="53"/>
      <c r="AI404" s="53"/>
      <c r="AJ404" s="53"/>
      <c r="AK404" s="53"/>
      <c r="AL404" s="41"/>
      <c r="AM404" s="41"/>
      <c r="AN404" s="41"/>
      <c r="AO404" s="41"/>
    </row>
    <row r="405" spans="9:41" s="30" customFormat="1">
      <c r="I405" s="69"/>
      <c r="K405" s="44"/>
      <c r="S405" s="41"/>
      <c r="T405" s="53"/>
      <c r="V405" s="53"/>
      <c r="W405" s="53"/>
      <c r="X405" s="53"/>
      <c r="AA405" s="58"/>
      <c r="AB405" s="58"/>
      <c r="AC405" s="41"/>
      <c r="AD405" s="41"/>
      <c r="AE405" s="41"/>
      <c r="AF405" s="41"/>
      <c r="AG405" s="41"/>
      <c r="AH405" s="53"/>
      <c r="AI405" s="53"/>
      <c r="AJ405" s="53"/>
      <c r="AK405" s="53"/>
      <c r="AL405" s="41"/>
      <c r="AM405" s="41"/>
      <c r="AN405" s="41"/>
      <c r="AO405" s="41"/>
    </row>
    <row r="406" spans="9:41" s="30" customFormat="1">
      <c r="I406" s="69"/>
      <c r="K406" s="44"/>
      <c r="S406" s="41"/>
      <c r="T406" s="53"/>
      <c r="V406" s="53"/>
      <c r="W406" s="53"/>
      <c r="X406" s="53"/>
      <c r="AA406" s="58"/>
      <c r="AB406" s="58"/>
      <c r="AC406" s="41"/>
      <c r="AD406" s="41"/>
      <c r="AE406" s="41"/>
      <c r="AF406" s="41"/>
      <c r="AG406" s="41"/>
      <c r="AH406" s="53"/>
      <c r="AI406" s="53"/>
      <c r="AJ406" s="53"/>
      <c r="AK406" s="53"/>
      <c r="AL406" s="41"/>
      <c r="AM406" s="41"/>
      <c r="AN406" s="41"/>
      <c r="AO406" s="41"/>
    </row>
    <row r="407" spans="9:41" s="30" customFormat="1">
      <c r="I407" s="69"/>
      <c r="K407" s="44"/>
      <c r="S407" s="41"/>
      <c r="T407" s="53"/>
      <c r="V407" s="53"/>
      <c r="W407" s="53"/>
      <c r="X407" s="53"/>
      <c r="AA407" s="58"/>
      <c r="AB407" s="58"/>
      <c r="AC407" s="41"/>
      <c r="AD407" s="41"/>
      <c r="AE407" s="41"/>
      <c r="AF407" s="41"/>
      <c r="AG407" s="41"/>
      <c r="AH407" s="53"/>
      <c r="AI407" s="53"/>
      <c r="AJ407" s="53"/>
      <c r="AK407" s="53"/>
      <c r="AL407" s="41"/>
      <c r="AM407" s="41"/>
      <c r="AN407" s="41"/>
      <c r="AO407" s="41"/>
    </row>
    <row r="408" spans="9:41" s="30" customFormat="1">
      <c r="I408" s="69"/>
      <c r="K408" s="44"/>
      <c r="S408" s="41"/>
      <c r="T408" s="53"/>
      <c r="V408" s="53"/>
      <c r="W408" s="53"/>
      <c r="X408" s="53"/>
      <c r="AA408" s="58"/>
      <c r="AB408" s="58"/>
      <c r="AC408" s="41"/>
      <c r="AD408" s="41"/>
      <c r="AE408" s="41"/>
      <c r="AF408" s="41"/>
      <c r="AG408" s="41"/>
      <c r="AH408" s="53"/>
      <c r="AI408" s="53"/>
      <c r="AJ408" s="53"/>
      <c r="AK408" s="53"/>
      <c r="AL408" s="41"/>
      <c r="AM408" s="41"/>
      <c r="AN408" s="41"/>
      <c r="AO408" s="41"/>
    </row>
    <row r="409" spans="9:41" s="30" customFormat="1">
      <c r="I409" s="69"/>
      <c r="K409" s="44"/>
      <c r="S409" s="41"/>
      <c r="T409" s="53"/>
      <c r="V409" s="53"/>
      <c r="W409" s="53"/>
      <c r="X409" s="53"/>
      <c r="AA409" s="58"/>
      <c r="AB409" s="58"/>
      <c r="AC409" s="41"/>
      <c r="AD409" s="41"/>
      <c r="AE409" s="41"/>
      <c r="AF409" s="41"/>
      <c r="AG409" s="41"/>
      <c r="AH409" s="53"/>
      <c r="AI409" s="53"/>
      <c r="AJ409" s="53"/>
      <c r="AK409" s="53"/>
      <c r="AL409" s="41"/>
      <c r="AM409" s="41"/>
      <c r="AN409" s="41"/>
      <c r="AO409" s="41"/>
    </row>
    <row r="410" spans="9:41" s="30" customFormat="1">
      <c r="I410" s="69"/>
      <c r="K410" s="44"/>
      <c r="S410" s="41"/>
      <c r="T410" s="53"/>
      <c r="V410" s="53"/>
      <c r="W410" s="53"/>
      <c r="X410" s="53"/>
      <c r="AA410" s="58"/>
      <c r="AB410" s="58"/>
      <c r="AC410" s="41"/>
      <c r="AD410" s="41"/>
      <c r="AE410" s="41"/>
      <c r="AF410" s="41"/>
      <c r="AG410" s="41"/>
      <c r="AH410" s="53"/>
      <c r="AI410" s="53"/>
      <c r="AJ410" s="53"/>
      <c r="AK410" s="53"/>
      <c r="AL410" s="41"/>
      <c r="AM410" s="41"/>
      <c r="AN410" s="41"/>
      <c r="AO410" s="41"/>
    </row>
    <row r="411" spans="9:41" s="30" customFormat="1">
      <c r="I411" s="69"/>
      <c r="K411" s="44"/>
      <c r="S411" s="41"/>
      <c r="T411" s="53"/>
      <c r="V411" s="53"/>
      <c r="W411" s="53"/>
      <c r="X411" s="53"/>
      <c r="AA411" s="58"/>
      <c r="AB411" s="58"/>
      <c r="AC411" s="41"/>
      <c r="AD411" s="41"/>
      <c r="AE411" s="41"/>
      <c r="AF411" s="41"/>
      <c r="AG411" s="41"/>
      <c r="AH411" s="53"/>
      <c r="AI411" s="53"/>
      <c r="AJ411" s="53"/>
      <c r="AK411" s="53"/>
      <c r="AL411" s="41"/>
      <c r="AM411" s="41"/>
      <c r="AN411" s="41"/>
      <c r="AO411" s="41"/>
    </row>
    <row r="412" spans="9:41" s="30" customFormat="1">
      <c r="I412" s="69"/>
      <c r="K412" s="44"/>
      <c r="S412" s="41"/>
      <c r="T412" s="53"/>
      <c r="V412" s="53"/>
      <c r="W412" s="53"/>
      <c r="X412" s="53"/>
      <c r="AA412" s="58"/>
      <c r="AB412" s="58"/>
      <c r="AC412" s="41"/>
      <c r="AD412" s="41"/>
      <c r="AE412" s="41"/>
      <c r="AF412" s="41"/>
      <c r="AG412" s="41"/>
      <c r="AH412" s="53"/>
      <c r="AI412" s="53"/>
      <c r="AJ412" s="53"/>
      <c r="AK412" s="53"/>
      <c r="AL412" s="41"/>
      <c r="AM412" s="41"/>
      <c r="AN412" s="41"/>
      <c r="AO412" s="41"/>
    </row>
    <row r="413" spans="9:41" s="30" customFormat="1">
      <c r="I413" s="69"/>
      <c r="K413" s="44"/>
      <c r="S413" s="41"/>
      <c r="T413" s="53"/>
      <c r="V413" s="53"/>
      <c r="W413" s="53"/>
      <c r="X413" s="53"/>
      <c r="AA413" s="58"/>
      <c r="AB413" s="58"/>
      <c r="AC413" s="41"/>
      <c r="AD413" s="41"/>
      <c r="AE413" s="41"/>
      <c r="AF413" s="41"/>
      <c r="AG413" s="41"/>
      <c r="AH413" s="53"/>
      <c r="AI413" s="53"/>
      <c r="AJ413" s="53"/>
      <c r="AK413" s="53"/>
      <c r="AL413" s="41"/>
      <c r="AM413" s="41"/>
      <c r="AN413" s="41"/>
      <c r="AO413" s="41"/>
    </row>
    <row r="414" spans="9:41" s="30" customFormat="1">
      <c r="I414" s="69"/>
      <c r="K414" s="44"/>
      <c r="S414" s="41"/>
      <c r="T414" s="53"/>
      <c r="V414" s="53"/>
      <c r="W414" s="53"/>
      <c r="X414" s="53"/>
      <c r="AA414" s="58"/>
      <c r="AB414" s="58"/>
      <c r="AC414" s="41"/>
      <c r="AD414" s="41"/>
      <c r="AE414" s="41"/>
      <c r="AF414" s="41"/>
      <c r="AG414" s="41"/>
      <c r="AH414" s="53"/>
      <c r="AI414" s="53"/>
      <c r="AJ414" s="53"/>
      <c r="AK414" s="53"/>
      <c r="AL414" s="41"/>
      <c r="AM414" s="41"/>
      <c r="AN414" s="41"/>
      <c r="AO414" s="41"/>
    </row>
    <row r="415" spans="9:41" s="30" customFormat="1">
      <c r="I415" s="69"/>
      <c r="K415" s="44"/>
      <c r="S415" s="41"/>
      <c r="T415" s="53"/>
      <c r="V415" s="53"/>
      <c r="W415" s="53"/>
      <c r="X415" s="53"/>
      <c r="AA415" s="58"/>
      <c r="AB415" s="58"/>
      <c r="AC415" s="41"/>
      <c r="AD415" s="41"/>
      <c r="AE415" s="41"/>
      <c r="AF415" s="41"/>
      <c r="AG415" s="41"/>
      <c r="AH415" s="53"/>
      <c r="AI415" s="53"/>
      <c r="AJ415" s="53"/>
      <c r="AK415" s="53"/>
      <c r="AL415" s="41"/>
      <c r="AM415" s="41"/>
      <c r="AN415" s="41"/>
      <c r="AO415" s="41"/>
    </row>
    <row r="416" spans="9:41" s="30" customFormat="1">
      <c r="I416" s="69"/>
      <c r="K416" s="44"/>
      <c r="S416" s="41"/>
      <c r="T416" s="53"/>
      <c r="V416" s="53"/>
      <c r="W416" s="53"/>
      <c r="X416" s="53"/>
      <c r="AA416" s="58"/>
      <c r="AB416" s="58"/>
      <c r="AC416" s="41"/>
      <c r="AD416" s="41"/>
      <c r="AE416" s="41"/>
      <c r="AF416" s="41"/>
      <c r="AG416" s="41"/>
      <c r="AH416" s="53"/>
      <c r="AI416" s="53"/>
      <c r="AJ416" s="53"/>
      <c r="AK416" s="53"/>
      <c r="AL416" s="41"/>
      <c r="AM416" s="41"/>
      <c r="AN416" s="41"/>
      <c r="AO416" s="41"/>
    </row>
    <row r="417" spans="9:41" s="30" customFormat="1">
      <c r="I417" s="69"/>
      <c r="K417" s="44"/>
      <c r="S417" s="41"/>
      <c r="T417" s="53"/>
      <c r="V417" s="53"/>
      <c r="W417" s="53"/>
      <c r="X417" s="53"/>
      <c r="AA417" s="58"/>
      <c r="AB417" s="58"/>
      <c r="AC417" s="41"/>
      <c r="AD417" s="41"/>
      <c r="AE417" s="41"/>
      <c r="AF417" s="41"/>
      <c r="AG417" s="41"/>
      <c r="AH417" s="53"/>
      <c r="AI417" s="53"/>
      <c r="AJ417" s="53"/>
      <c r="AK417" s="53"/>
      <c r="AL417" s="41"/>
      <c r="AM417" s="41"/>
      <c r="AN417" s="41"/>
      <c r="AO417" s="41"/>
    </row>
    <row r="418" spans="9:41" s="30" customFormat="1">
      <c r="I418" s="69"/>
      <c r="K418" s="44"/>
      <c r="S418" s="41"/>
      <c r="T418" s="53"/>
      <c r="V418" s="53"/>
      <c r="W418" s="53"/>
      <c r="X418" s="53"/>
      <c r="AA418" s="58"/>
      <c r="AB418" s="58"/>
      <c r="AC418" s="41"/>
      <c r="AD418" s="41"/>
      <c r="AE418" s="41"/>
      <c r="AF418" s="41"/>
      <c r="AG418" s="41"/>
      <c r="AH418" s="53"/>
      <c r="AI418" s="53"/>
      <c r="AJ418" s="53"/>
      <c r="AK418" s="53"/>
      <c r="AL418" s="41"/>
      <c r="AM418" s="41"/>
      <c r="AN418" s="41"/>
      <c r="AO418" s="41"/>
    </row>
    <row r="419" spans="9:41" s="30" customFormat="1">
      <c r="I419" s="69"/>
      <c r="K419" s="44"/>
      <c r="S419" s="41"/>
      <c r="T419" s="53"/>
      <c r="V419" s="53"/>
      <c r="W419" s="53"/>
      <c r="X419" s="53"/>
      <c r="AA419" s="58"/>
      <c r="AB419" s="58"/>
      <c r="AC419" s="41"/>
      <c r="AD419" s="41"/>
      <c r="AE419" s="41"/>
      <c r="AF419" s="41"/>
      <c r="AG419" s="41"/>
      <c r="AH419" s="53"/>
      <c r="AI419" s="53"/>
      <c r="AJ419" s="53"/>
      <c r="AK419" s="53"/>
      <c r="AL419" s="41"/>
      <c r="AM419" s="41"/>
      <c r="AN419" s="41"/>
      <c r="AO419" s="41"/>
    </row>
    <row r="420" spans="9:41" s="30" customFormat="1">
      <c r="I420" s="69"/>
      <c r="K420" s="44"/>
      <c r="S420" s="41"/>
      <c r="T420" s="53"/>
      <c r="V420" s="53"/>
      <c r="W420" s="53"/>
      <c r="X420" s="53"/>
      <c r="AA420" s="58"/>
      <c r="AB420" s="58"/>
      <c r="AC420" s="41"/>
      <c r="AD420" s="41"/>
      <c r="AE420" s="41"/>
      <c r="AF420" s="41"/>
      <c r="AG420" s="41"/>
      <c r="AH420" s="53"/>
      <c r="AI420" s="53"/>
      <c r="AJ420" s="53"/>
      <c r="AK420" s="53"/>
      <c r="AL420" s="41"/>
      <c r="AM420" s="41"/>
      <c r="AN420" s="41"/>
      <c r="AO420" s="41"/>
    </row>
    <row r="421" spans="9:41" s="30" customFormat="1">
      <c r="I421" s="69"/>
      <c r="K421" s="44"/>
      <c r="S421" s="41"/>
      <c r="T421" s="53"/>
      <c r="V421" s="53"/>
      <c r="W421" s="53"/>
      <c r="X421" s="53"/>
      <c r="AA421" s="58"/>
      <c r="AB421" s="58"/>
      <c r="AC421" s="41"/>
      <c r="AD421" s="41"/>
      <c r="AE421" s="41"/>
      <c r="AF421" s="41"/>
      <c r="AG421" s="41"/>
      <c r="AH421" s="53"/>
      <c r="AI421" s="53"/>
      <c r="AJ421" s="53"/>
      <c r="AK421" s="53"/>
      <c r="AL421" s="41"/>
      <c r="AM421" s="41"/>
      <c r="AN421" s="41"/>
      <c r="AO421" s="41"/>
    </row>
    <row r="422" spans="9:41" s="30" customFormat="1">
      <c r="I422" s="69"/>
      <c r="K422" s="44"/>
      <c r="S422" s="41"/>
      <c r="T422" s="53"/>
      <c r="V422" s="53"/>
      <c r="W422" s="53"/>
      <c r="X422" s="53"/>
      <c r="AA422" s="58"/>
      <c r="AB422" s="58"/>
      <c r="AC422" s="41"/>
      <c r="AD422" s="41"/>
      <c r="AE422" s="41"/>
      <c r="AF422" s="41"/>
      <c r="AG422" s="41"/>
      <c r="AH422" s="53"/>
      <c r="AI422" s="53"/>
      <c r="AJ422" s="53"/>
      <c r="AK422" s="53"/>
      <c r="AL422" s="41"/>
      <c r="AM422" s="41"/>
      <c r="AN422" s="41"/>
      <c r="AO422" s="41"/>
    </row>
    <row r="423" spans="9:41" s="30" customFormat="1">
      <c r="I423" s="69"/>
      <c r="K423" s="44"/>
      <c r="S423" s="41"/>
      <c r="T423" s="53"/>
      <c r="V423" s="53"/>
      <c r="W423" s="53"/>
      <c r="X423" s="53"/>
      <c r="AA423" s="58"/>
      <c r="AB423" s="58"/>
      <c r="AC423" s="41"/>
      <c r="AD423" s="41"/>
      <c r="AE423" s="41"/>
      <c r="AF423" s="41"/>
      <c r="AG423" s="41"/>
      <c r="AH423" s="53"/>
      <c r="AI423" s="53"/>
      <c r="AJ423" s="53"/>
      <c r="AK423" s="53"/>
      <c r="AL423" s="41"/>
      <c r="AM423" s="41"/>
      <c r="AN423" s="41"/>
      <c r="AO423" s="41"/>
    </row>
    <row r="424" spans="9:41" s="30" customFormat="1">
      <c r="I424" s="69"/>
      <c r="K424" s="44"/>
      <c r="S424" s="41"/>
      <c r="T424" s="53"/>
      <c r="V424" s="53"/>
      <c r="W424" s="53"/>
      <c r="X424" s="53"/>
      <c r="AA424" s="58"/>
      <c r="AB424" s="58"/>
      <c r="AC424" s="41"/>
      <c r="AD424" s="41"/>
      <c r="AE424" s="41"/>
      <c r="AF424" s="41"/>
      <c r="AG424" s="41"/>
      <c r="AH424" s="53"/>
      <c r="AI424" s="53"/>
      <c r="AJ424" s="53"/>
      <c r="AK424" s="53"/>
      <c r="AL424" s="41"/>
      <c r="AM424" s="41"/>
      <c r="AN424" s="41"/>
      <c r="AO424" s="41"/>
    </row>
    <row r="425" spans="9:41" s="30" customFormat="1">
      <c r="I425" s="69"/>
      <c r="K425" s="44"/>
      <c r="S425" s="41"/>
      <c r="T425" s="53"/>
      <c r="V425" s="53"/>
      <c r="W425" s="53"/>
      <c r="X425" s="53"/>
      <c r="AA425" s="58"/>
      <c r="AB425" s="58"/>
      <c r="AC425" s="41"/>
      <c r="AD425" s="41"/>
      <c r="AE425" s="41"/>
      <c r="AF425" s="41"/>
      <c r="AG425" s="41"/>
      <c r="AH425" s="53"/>
      <c r="AI425" s="53"/>
      <c r="AJ425" s="53"/>
      <c r="AK425" s="53"/>
      <c r="AL425" s="41"/>
      <c r="AM425" s="41"/>
      <c r="AN425" s="41"/>
      <c r="AO425" s="41"/>
    </row>
    <row r="426" spans="9:41" s="30" customFormat="1">
      <c r="I426" s="69"/>
      <c r="K426" s="44"/>
      <c r="S426" s="41"/>
      <c r="T426" s="53"/>
      <c r="V426" s="53"/>
      <c r="W426" s="53"/>
      <c r="X426" s="53"/>
      <c r="AA426" s="58"/>
      <c r="AB426" s="58"/>
      <c r="AC426" s="41"/>
      <c r="AD426" s="41"/>
      <c r="AE426" s="41"/>
      <c r="AF426" s="41"/>
      <c r="AG426" s="41"/>
      <c r="AH426" s="53"/>
      <c r="AI426" s="53"/>
      <c r="AJ426" s="53"/>
      <c r="AK426" s="53"/>
      <c r="AL426" s="41"/>
      <c r="AM426" s="41"/>
      <c r="AN426" s="41"/>
      <c r="AO426" s="41"/>
    </row>
    <row r="427" spans="9:41" s="30" customFormat="1">
      <c r="I427" s="69"/>
      <c r="K427" s="44"/>
      <c r="S427" s="41"/>
      <c r="T427" s="53"/>
      <c r="V427" s="53"/>
      <c r="W427" s="53"/>
      <c r="X427" s="53"/>
      <c r="AA427" s="58"/>
      <c r="AB427" s="58"/>
      <c r="AC427" s="41"/>
      <c r="AD427" s="41"/>
      <c r="AE427" s="41"/>
      <c r="AF427" s="41"/>
      <c r="AG427" s="41"/>
      <c r="AH427" s="53"/>
      <c r="AI427" s="53"/>
      <c r="AJ427" s="53"/>
      <c r="AK427" s="53"/>
      <c r="AL427" s="41"/>
      <c r="AM427" s="41"/>
      <c r="AN427" s="41"/>
      <c r="AO427" s="41"/>
    </row>
    <row r="428" spans="9:41" s="30" customFormat="1">
      <c r="I428" s="69"/>
      <c r="K428" s="44"/>
      <c r="S428" s="41"/>
      <c r="T428" s="53"/>
      <c r="V428" s="53"/>
      <c r="W428" s="53"/>
      <c r="X428" s="53"/>
      <c r="AA428" s="58"/>
      <c r="AB428" s="58"/>
      <c r="AC428" s="41"/>
      <c r="AD428" s="41"/>
      <c r="AE428" s="41"/>
      <c r="AF428" s="41"/>
      <c r="AG428" s="41"/>
      <c r="AH428" s="53"/>
      <c r="AI428" s="53"/>
      <c r="AJ428" s="53"/>
      <c r="AK428" s="53"/>
      <c r="AL428" s="41"/>
      <c r="AM428" s="41"/>
      <c r="AN428" s="41"/>
      <c r="AO428" s="41"/>
    </row>
    <row r="429" spans="9:41" s="30" customFormat="1">
      <c r="I429" s="69"/>
      <c r="K429" s="44"/>
      <c r="S429" s="41"/>
      <c r="T429" s="53"/>
      <c r="V429" s="53"/>
      <c r="W429" s="53"/>
      <c r="X429" s="53"/>
      <c r="AA429" s="58"/>
      <c r="AB429" s="58"/>
      <c r="AC429" s="41"/>
      <c r="AD429" s="41"/>
      <c r="AE429" s="41"/>
      <c r="AF429" s="41"/>
      <c r="AG429" s="41"/>
      <c r="AH429" s="53"/>
      <c r="AI429" s="53"/>
      <c r="AJ429" s="53"/>
      <c r="AK429" s="53"/>
      <c r="AL429" s="41"/>
      <c r="AM429" s="41"/>
      <c r="AN429" s="41"/>
      <c r="AO429" s="41"/>
    </row>
    <row r="430" spans="9:41" s="30" customFormat="1">
      <c r="I430" s="69"/>
      <c r="K430" s="44"/>
      <c r="S430" s="41"/>
      <c r="T430" s="53"/>
      <c r="V430" s="53"/>
      <c r="W430" s="53"/>
      <c r="X430" s="53"/>
      <c r="AA430" s="58"/>
      <c r="AB430" s="58"/>
      <c r="AC430" s="41"/>
      <c r="AD430" s="41"/>
      <c r="AE430" s="41"/>
      <c r="AF430" s="41"/>
      <c r="AG430" s="41"/>
      <c r="AH430" s="53"/>
      <c r="AI430" s="53"/>
      <c r="AJ430" s="53"/>
      <c r="AK430" s="53"/>
      <c r="AL430" s="41"/>
      <c r="AM430" s="41"/>
      <c r="AN430" s="41"/>
      <c r="AO430" s="41"/>
    </row>
    <row r="431" spans="9:41" s="30" customFormat="1">
      <c r="I431" s="69"/>
      <c r="K431" s="44"/>
      <c r="S431" s="41"/>
      <c r="T431" s="53"/>
      <c r="V431" s="53"/>
      <c r="W431" s="53"/>
      <c r="X431" s="53"/>
      <c r="AA431" s="58"/>
      <c r="AB431" s="58"/>
      <c r="AC431" s="41"/>
      <c r="AD431" s="41"/>
      <c r="AE431" s="41"/>
      <c r="AF431" s="41"/>
      <c r="AG431" s="41"/>
      <c r="AH431" s="53"/>
      <c r="AI431" s="53"/>
      <c r="AJ431" s="53"/>
      <c r="AK431" s="53"/>
      <c r="AL431" s="41"/>
      <c r="AM431" s="41"/>
      <c r="AN431" s="41"/>
      <c r="AO431" s="41"/>
    </row>
    <row r="432" spans="9:41" s="30" customFormat="1">
      <c r="I432" s="69"/>
      <c r="K432" s="44"/>
      <c r="S432" s="41"/>
      <c r="T432" s="53"/>
      <c r="V432" s="53"/>
      <c r="W432" s="53"/>
      <c r="X432" s="53"/>
      <c r="AA432" s="58"/>
      <c r="AB432" s="58"/>
      <c r="AC432" s="41"/>
      <c r="AD432" s="41"/>
      <c r="AE432" s="41"/>
      <c r="AF432" s="41"/>
      <c r="AG432" s="41"/>
      <c r="AH432" s="53"/>
      <c r="AI432" s="53"/>
      <c r="AJ432" s="53"/>
      <c r="AK432" s="53"/>
      <c r="AL432" s="41"/>
      <c r="AM432" s="41"/>
      <c r="AN432" s="41"/>
      <c r="AO432" s="41"/>
    </row>
    <row r="433" spans="9:41" s="30" customFormat="1">
      <c r="I433" s="69"/>
      <c r="K433" s="44"/>
      <c r="S433" s="41"/>
      <c r="T433" s="53"/>
      <c r="V433" s="53"/>
      <c r="W433" s="53"/>
      <c r="X433" s="53"/>
      <c r="AA433" s="58"/>
      <c r="AB433" s="58"/>
      <c r="AC433" s="41"/>
      <c r="AD433" s="41"/>
      <c r="AE433" s="41"/>
      <c r="AF433" s="41"/>
      <c r="AG433" s="41"/>
      <c r="AH433" s="53"/>
      <c r="AI433" s="53"/>
      <c r="AJ433" s="53"/>
      <c r="AK433" s="53"/>
      <c r="AL433" s="41"/>
      <c r="AM433" s="41"/>
      <c r="AN433" s="41"/>
      <c r="AO433" s="41"/>
    </row>
    <row r="434" spans="9:41" s="30" customFormat="1">
      <c r="I434" s="69"/>
      <c r="K434" s="44"/>
      <c r="S434" s="41"/>
      <c r="T434" s="53"/>
      <c r="V434" s="53"/>
      <c r="W434" s="53"/>
      <c r="X434" s="53"/>
      <c r="AA434" s="58"/>
      <c r="AB434" s="58"/>
      <c r="AC434" s="41"/>
      <c r="AD434" s="41"/>
      <c r="AE434" s="41"/>
      <c r="AF434" s="41"/>
      <c r="AG434" s="41"/>
      <c r="AH434" s="53"/>
      <c r="AI434" s="53"/>
      <c r="AJ434" s="53"/>
      <c r="AK434" s="53"/>
      <c r="AL434" s="41"/>
      <c r="AM434" s="41"/>
      <c r="AN434" s="41"/>
      <c r="AO434" s="41"/>
    </row>
    <row r="435" spans="9:41" s="30" customFormat="1">
      <c r="I435" s="69"/>
      <c r="K435" s="44"/>
      <c r="S435" s="41"/>
      <c r="T435" s="53"/>
      <c r="V435" s="53"/>
      <c r="W435" s="53"/>
      <c r="X435" s="53"/>
      <c r="AA435" s="58"/>
      <c r="AB435" s="58"/>
      <c r="AC435" s="41"/>
      <c r="AD435" s="41"/>
      <c r="AE435" s="41"/>
      <c r="AF435" s="41"/>
      <c r="AG435" s="41"/>
      <c r="AH435" s="53"/>
      <c r="AI435" s="53"/>
      <c r="AJ435" s="53"/>
      <c r="AK435" s="53"/>
      <c r="AL435" s="41"/>
      <c r="AM435" s="41"/>
      <c r="AN435" s="41"/>
      <c r="AO435" s="41"/>
    </row>
    <row r="436" spans="9:41" s="30" customFormat="1">
      <c r="I436" s="69"/>
      <c r="K436" s="44"/>
      <c r="S436" s="41"/>
      <c r="T436" s="53"/>
      <c r="V436" s="53"/>
      <c r="W436" s="53"/>
      <c r="X436" s="53"/>
      <c r="AA436" s="58"/>
      <c r="AB436" s="58"/>
      <c r="AC436" s="41"/>
      <c r="AD436" s="41"/>
      <c r="AE436" s="41"/>
      <c r="AF436" s="41"/>
      <c r="AG436" s="41"/>
      <c r="AH436" s="53"/>
      <c r="AI436" s="53"/>
      <c r="AJ436" s="53"/>
      <c r="AK436" s="53"/>
      <c r="AL436" s="41"/>
      <c r="AM436" s="41"/>
      <c r="AN436" s="41"/>
      <c r="AO436" s="41"/>
    </row>
    <row r="437" spans="9:41" s="30" customFormat="1">
      <c r="I437" s="69"/>
      <c r="K437" s="44"/>
      <c r="S437" s="41"/>
      <c r="T437" s="53"/>
      <c r="V437" s="53"/>
      <c r="W437" s="53"/>
      <c r="X437" s="53"/>
      <c r="AA437" s="58"/>
      <c r="AB437" s="58"/>
      <c r="AC437" s="41"/>
      <c r="AD437" s="41"/>
      <c r="AE437" s="41"/>
      <c r="AF437" s="41"/>
      <c r="AG437" s="41"/>
      <c r="AH437" s="53"/>
      <c r="AI437" s="53"/>
      <c r="AJ437" s="53"/>
      <c r="AK437" s="53"/>
      <c r="AL437" s="41"/>
      <c r="AM437" s="41"/>
      <c r="AN437" s="41"/>
      <c r="AO437" s="41"/>
    </row>
    <row r="438" spans="9:41" s="30" customFormat="1">
      <c r="I438" s="69"/>
      <c r="K438" s="44"/>
      <c r="S438" s="41"/>
      <c r="T438" s="53"/>
      <c r="V438" s="53"/>
      <c r="W438" s="53"/>
      <c r="X438" s="53"/>
      <c r="AA438" s="58"/>
      <c r="AB438" s="58"/>
      <c r="AC438" s="41"/>
      <c r="AD438" s="41"/>
      <c r="AE438" s="41"/>
      <c r="AF438" s="41"/>
      <c r="AG438" s="41"/>
      <c r="AH438" s="53"/>
      <c r="AI438" s="53"/>
      <c r="AJ438" s="53"/>
      <c r="AK438" s="53"/>
      <c r="AL438" s="41"/>
      <c r="AM438" s="41"/>
      <c r="AN438" s="41"/>
      <c r="AO438" s="41"/>
    </row>
    <row r="439" spans="9:41" s="30" customFormat="1">
      <c r="I439" s="69"/>
      <c r="K439" s="44"/>
      <c r="S439" s="41"/>
      <c r="T439" s="53"/>
      <c r="V439" s="53"/>
      <c r="W439" s="53"/>
      <c r="X439" s="53"/>
      <c r="AA439" s="58"/>
      <c r="AB439" s="58"/>
      <c r="AC439" s="41"/>
      <c r="AD439" s="41"/>
      <c r="AE439" s="41"/>
      <c r="AF439" s="41"/>
      <c r="AG439" s="41"/>
      <c r="AH439" s="53"/>
      <c r="AI439" s="53"/>
      <c r="AJ439" s="53"/>
      <c r="AK439" s="53"/>
      <c r="AL439" s="41"/>
      <c r="AM439" s="41"/>
      <c r="AN439" s="41"/>
      <c r="AO439" s="41"/>
    </row>
    <row r="440" spans="9:41" s="30" customFormat="1">
      <c r="I440" s="69"/>
      <c r="K440" s="44"/>
      <c r="S440" s="41"/>
      <c r="T440" s="53"/>
      <c r="V440" s="53"/>
      <c r="W440" s="53"/>
      <c r="X440" s="53"/>
      <c r="AA440" s="58"/>
      <c r="AB440" s="58"/>
      <c r="AC440" s="41"/>
      <c r="AD440" s="41"/>
      <c r="AE440" s="41"/>
      <c r="AF440" s="41"/>
      <c r="AG440" s="41"/>
      <c r="AH440" s="53"/>
      <c r="AI440" s="53"/>
      <c r="AJ440" s="53"/>
      <c r="AK440" s="53"/>
      <c r="AL440" s="41"/>
      <c r="AM440" s="41"/>
      <c r="AN440" s="41"/>
      <c r="AO440" s="41"/>
    </row>
    <row r="441" spans="9:41" s="30" customFormat="1">
      <c r="I441" s="69"/>
      <c r="K441" s="44"/>
      <c r="S441" s="41"/>
      <c r="T441" s="53"/>
      <c r="V441" s="53"/>
      <c r="W441" s="53"/>
      <c r="X441" s="53"/>
      <c r="AA441" s="58"/>
      <c r="AB441" s="58"/>
      <c r="AC441" s="41"/>
      <c r="AD441" s="41"/>
      <c r="AE441" s="41"/>
      <c r="AF441" s="41"/>
      <c r="AG441" s="41"/>
      <c r="AH441" s="53"/>
      <c r="AI441" s="53"/>
      <c r="AJ441" s="53"/>
      <c r="AK441" s="53"/>
      <c r="AL441" s="41"/>
      <c r="AM441" s="41"/>
      <c r="AN441" s="41"/>
      <c r="AO441" s="41"/>
    </row>
    <row r="442" spans="9:41" s="30" customFormat="1">
      <c r="I442" s="69"/>
      <c r="K442" s="44"/>
      <c r="S442" s="41"/>
      <c r="T442" s="53"/>
      <c r="V442" s="53"/>
      <c r="W442" s="53"/>
      <c r="X442" s="53"/>
      <c r="AA442" s="58"/>
      <c r="AB442" s="58"/>
      <c r="AC442" s="41"/>
      <c r="AD442" s="41"/>
      <c r="AE442" s="41"/>
      <c r="AF442" s="41"/>
      <c r="AG442" s="41"/>
      <c r="AH442" s="53"/>
      <c r="AI442" s="53"/>
      <c r="AJ442" s="53"/>
      <c r="AK442" s="53"/>
      <c r="AL442" s="41"/>
      <c r="AM442" s="41"/>
      <c r="AN442" s="41"/>
      <c r="AO442" s="41"/>
    </row>
    <row r="443" spans="9:41" s="30" customFormat="1">
      <c r="I443" s="69"/>
      <c r="K443" s="44"/>
      <c r="S443" s="41"/>
      <c r="T443" s="53"/>
      <c r="V443" s="53"/>
      <c r="W443" s="53"/>
      <c r="X443" s="53"/>
      <c r="AA443" s="58"/>
      <c r="AB443" s="58"/>
      <c r="AC443" s="41"/>
      <c r="AD443" s="41"/>
      <c r="AE443" s="41"/>
      <c r="AF443" s="41"/>
      <c r="AG443" s="41"/>
      <c r="AH443" s="53"/>
      <c r="AI443" s="53"/>
      <c r="AJ443" s="53"/>
      <c r="AK443" s="53"/>
      <c r="AL443" s="41"/>
      <c r="AM443" s="41"/>
      <c r="AN443" s="41"/>
      <c r="AO443" s="41"/>
    </row>
    <row r="444" spans="9:41" s="30" customFormat="1">
      <c r="I444" s="69"/>
      <c r="K444" s="44"/>
      <c r="S444" s="41"/>
      <c r="T444" s="53"/>
      <c r="V444" s="53"/>
      <c r="W444" s="53"/>
      <c r="X444" s="53"/>
      <c r="AA444" s="58"/>
      <c r="AB444" s="58"/>
      <c r="AC444" s="41"/>
      <c r="AD444" s="41"/>
      <c r="AE444" s="41"/>
      <c r="AF444" s="41"/>
      <c r="AG444" s="41"/>
      <c r="AH444" s="53"/>
      <c r="AI444" s="53"/>
      <c r="AJ444" s="53"/>
      <c r="AK444" s="53"/>
      <c r="AL444" s="41"/>
      <c r="AM444" s="41"/>
      <c r="AN444" s="41"/>
      <c r="AO444" s="41"/>
    </row>
    <row r="445" spans="9:41" s="30" customFormat="1">
      <c r="I445" s="69"/>
      <c r="K445" s="44"/>
      <c r="S445" s="41"/>
      <c r="T445" s="53"/>
      <c r="V445" s="53"/>
      <c r="W445" s="53"/>
      <c r="X445" s="53"/>
      <c r="AA445" s="58"/>
      <c r="AB445" s="58"/>
      <c r="AC445" s="41"/>
      <c r="AD445" s="41"/>
      <c r="AE445" s="41"/>
      <c r="AF445" s="41"/>
      <c r="AG445" s="41"/>
      <c r="AH445" s="53"/>
      <c r="AI445" s="53"/>
      <c r="AJ445" s="53"/>
      <c r="AK445" s="53"/>
      <c r="AL445" s="41"/>
      <c r="AM445" s="41"/>
      <c r="AN445" s="41"/>
      <c r="AO445" s="41"/>
    </row>
    <row r="446" spans="9:41" s="30" customFormat="1">
      <c r="I446" s="69"/>
      <c r="K446" s="44"/>
      <c r="S446" s="41"/>
      <c r="T446" s="53"/>
      <c r="V446" s="53"/>
      <c r="W446" s="53"/>
      <c r="X446" s="53"/>
      <c r="AA446" s="58"/>
      <c r="AB446" s="58"/>
      <c r="AC446" s="41"/>
      <c r="AD446" s="41"/>
      <c r="AE446" s="41"/>
      <c r="AF446" s="41"/>
      <c r="AG446" s="41"/>
      <c r="AH446" s="53"/>
      <c r="AI446" s="53"/>
      <c r="AJ446" s="53"/>
      <c r="AK446" s="53"/>
      <c r="AL446" s="41"/>
      <c r="AM446" s="41"/>
      <c r="AN446" s="41"/>
      <c r="AO446" s="41"/>
    </row>
    <row r="447" spans="9:41" s="30" customFormat="1">
      <c r="I447" s="69"/>
      <c r="K447" s="44"/>
      <c r="S447" s="41"/>
      <c r="T447" s="53"/>
      <c r="V447" s="53"/>
      <c r="W447" s="53"/>
      <c r="X447" s="53"/>
      <c r="AA447" s="58"/>
      <c r="AB447" s="58"/>
      <c r="AC447" s="41"/>
      <c r="AD447" s="41"/>
      <c r="AE447" s="41"/>
      <c r="AF447" s="41"/>
      <c r="AG447" s="41"/>
      <c r="AH447" s="53"/>
      <c r="AI447" s="53"/>
      <c r="AJ447" s="53"/>
      <c r="AK447" s="53"/>
      <c r="AL447" s="41"/>
      <c r="AM447" s="41"/>
      <c r="AN447" s="41"/>
      <c r="AO447" s="41"/>
    </row>
    <row r="448" spans="9:41" s="30" customFormat="1">
      <c r="I448" s="69"/>
      <c r="K448" s="44"/>
      <c r="S448" s="41"/>
      <c r="T448" s="53"/>
      <c r="V448" s="53"/>
      <c r="W448" s="53"/>
      <c r="X448" s="53"/>
      <c r="AA448" s="58"/>
      <c r="AB448" s="58"/>
      <c r="AC448" s="41"/>
      <c r="AD448" s="41"/>
      <c r="AE448" s="41"/>
      <c r="AF448" s="41"/>
      <c r="AG448" s="41"/>
      <c r="AH448" s="53"/>
      <c r="AI448" s="53"/>
      <c r="AJ448" s="53"/>
      <c r="AK448" s="53"/>
      <c r="AL448" s="41"/>
      <c r="AM448" s="41"/>
      <c r="AN448" s="41"/>
      <c r="AO448" s="41"/>
    </row>
    <row r="449" spans="9:41" s="30" customFormat="1">
      <c r="I449" s="69"/>
      <c r="K449" s="44"/>
      <c r="S449" s="41"/>
      <c r="T449" s="53"/>
      <c r="V449" s="53"/>
      <c r="W449" s="53"/>
      <c r="X449" s="53"/>
      <c r="AA449" s="58"/>
      <c r="AB449" s="58"/>
      <c r="AC449" s="41"/>
      <c r="AD449" s="41"/>
      <c r="AE449" s="41"/>
      <c r="AF449" s="41"/>
      <c r="AG449" s="41"/>
      <c r="AH449" s="53"/>
      <c r="AI449" s="53"/>
      <c r="AJ449" s="53"/>
      <c r="AK449" s="53"/>
      <c r="AL449" s="41"/>
      <c r="AM449" s="41"/>
      <c r="AN449" s="41"/>
      <c r="AO449" s="41"/>
    </row>
    <row r="450" spans="9:41" s="30" customFormat="1">
      <c r="I450" s="69"/>
      <c r="K450" s="44"/>
      <c r="S450" s="41"/>
      <c r="T450" s="53"/>
      <c r="V450" s="53"/>
      <c r="W450" s="53"/>
      <c r="X450" s="53"/>
      <c r="AA450" s="58"/>
      <c r="AB450" s="58"/>
      <c r="AC450" s="41"/>
      <c r="AD450" s="41"/>
      <c r="AE450" s="41"/>
      <c r="AF450" s="41"/>
      <c r="AG450" s="41"/>
      <c r="AH450" s="53"/>
      <c r="AI450" s="53"/>
      <c r="AJ450" s="53"/>
      <c r="AK450" s="53"/>
      <c r="AL450" s="41"/>
      <c r="AM450" s="41"/>
      <c r="AN450" s="41"/>
      <c r="AO450" s="41"/>
    </row>
    <row r="451" spans="9:41" s="30" customFormat="1">
      <c r="I451" s="69"/>
      <c r="K451" s="44"/>
      <c r="S451" s="41"/>
      <c r="T451" s="53"/>
      <c r="V451" s="53"/>
      <c r="W451" s="53"/>
      <c r="X451" s="53"/>
      <c r="AA451" s="58"/>
      <c r="AB451" s="58"/>
      <c r="AC451" s="41"/>
      <c r="AD451" s="41"/>
      <c r="AE451" s="41"/>
      <c r="AF451" s="41"/>
      <c r="AG451" s="41"/>
      <c r="AH451" s="53"/>
      <c r="AI451" s="53"/>
      <c r="AJ451" s="53"/>
      <c r="AK451" s="53"/>
      <c r="AL451" s="41"/>
      <c r="AM451" s="41"/>
      <c r="AN451" s="41"/>
      <c r="AO451" s="41"/>
    </row>
    <row r="452" spans="9:41" s="30" customFormat="1">
      <c r="I452" s="69"/>
      <c r="K452" s="44"/>
      <c r="S452" s="41"/>
      <c r="T452" s="53"/>
      <c r="V452" s="53"/>
      <c r="W452" s="53"/>
      <c r="X452" s="53"/>
      <c r="AA452" s="58"/>
      <c r="AB452" s="58"/>
      <c r="AC452" s="41"/>
      <c r="AD452" s="41"/>
      <c r="AE452" s="41"/>
      <c r="AF452" s="41"/>
      <c r="AG452" s="41"/>
      <c r="AH452" s="53"/>
      <c r="AI452" s="53"/>
      <c r="AJ452" s="53"/>
      <c r="AK452" s="53"/>
      <c r="AL452" s="41"/>
      <c r="AM452" s="41"/>
      <c r="AN452" s="41"/>
      <c r="AO452" s="41"/>
    </row>
    <row r="453" spans="9:41" s="30" customFormat="1">
      <c r="I453" s="69"/>
      <c r="K453" s="44"/>
      <c r="S453" s="41"/>
      <c r="T453" s="53"/>
      <c r="V453" s="53"/>
      <c r="W453" s="53"/>
      <c r="X453" s="53"/>
      <c r="AA453" s="58"/>
      <c r="AB453" s="58"/>
      <c r="AC453" s="41"/>
      <c r="AD453" s="41"/>
      <c r="AE453" s="41"/>
      <c r="AF453" s="41"/>
      <c r="AG453" s="41"/>
      <c r="AH453" s="53"/>
      <c r="AI453" s="53"/>
      <c r="AJ453" s="53"/>
      <c r="AK453" s="53"/>
      <c r="AL453" s="41"/>
      <c r="AM453" s="41"/>
      <c r="AN453" s="41"/>
      <c r="AO453" s="41"/>
    </row>
    <row r="454" spans="9:41" s="30" customFormat="1">
      <c r="I454" s="69"/>
      <c r="K454" s="44"/>
      <c r="S454" s="41"/>
      <c r="T454" s="53"/>
      <c r="V454" s="53"/>
      <c r="W454" s="53"/>
      <c r="X454" s="53"/>
      <c r="AA454" s="58"/>
      <c r="AB454" s="58"/>
      <c r="AC454" s="41"/>
      <c r="AD454" s="41"/>
      <c r="AE454" s="41"/>
      <c r="AF454" s="41"/>
      <c r="AG454" s="41"/>
      <c r="AH454" s="53"/>
      <c r="AI454" s="53"/>
      <c r="AJ454" s="53"/>
      <c r="AK454" s="53"/>
      <c r="AL454" s="41"/>
      <c r="AM454" s="41"/>
      <c r="AN454" s="41"/>
      <c r="AO454" s="41"/>
    </row>
    <row r="455" spans="9:41" s="30" customFormat="1">
      <c r="I455" s="69"/>
      <c r="K455" s="44"/>
      <c r="S455" s="41"/>
      <c r="T455" s="53"/>
      <c r="V455" s="53"/>
      <c r="W455" s="53"/>
      <c r="X455" s="53"/>
      <c r="AA455" s="58"/>
      <c r="AB455" s="58"/>
      <c r="AC455" s="41"/>
      <c r="AD455" s="41"/>
      <c r="AE455" s="41"/>
      <c r="AF455" s="41"/>
      <c r="AG455" s="41"/>
      <c r="AH455" s="53"/>
      <c r="AI455" s="53"/>
      <c r="AJ455" s="53"/>
      <c r="AK455" s="53"/>
      <c r="AL455" s="41"/>
      <c r="AM455" s="41"/>
      <c r="AN455" s="41"/>
      <c r="AO455" s="41"/>
    </row>
    <row r="456" spans="9:41" s="30" customFormat="1">
      <c r="I456" s="69"/>
      <c r="K456" s="44"/>
      <c r="S456" s="41"/>
      <c r="T456" s="53"/>
      <c r="V456" s="53"/>
      <c r="W456" s="53"/>
      <c r="X456" s="53"/>
      <c r="AA456" s="58"/>
      <c r="AB456" s="58"/>
      <c r="AC456" s="41"/>
      <c r="AD456" s="41"/>
      <c r="AE456" s="41"/>
      <c r="AF456" s="41"/>
      <c r="AG456" s="41"/>
      <c r="AH456" s="53"/>
      <c r="AI456" s="53"/>
      <c r="AJ456" s="53"/>
      <c r="AK456" s="53"/>
      <c r="AL456" s="41"/>
      <c r="AM456" s="41"/>
      <c r="AN456" s="41"/>
      <c r="AO456" s="41"/>
    </row>
    <row r="457" spans="9:41" s="30" customFormat="1">
      <c r="I457" s="69"/>
      <c r="K457" s="44"/>
      <c r="S457" s="41"/>
      <c r="T457" s="53"/>
      <c r="V457" s="53"/>
      <c r="W457" s="53"/>
      <c r="X457" s="53"/>
      <c r="AA457" s="58"/>
      <c r="AB457" s="58"/>
      <c r="AC457" s="41"/>
      <c r="AD457" s="41"/>
      <c r="AE457" s="41"/>
      <c r="AF457" s="41"/>
      <c r="AG457" s="41"/>
      <c r="AH457" s="53"/>
      <c r="AI457" s="53"/>
      <c r="AJ457" s="53"/>
      <c r="AK457" s="53"/>
      <c r="AL457" s="41"/>
      <c r="AM457" s="41"/>
      <c r="AN457" s="41"/>
      <c r="AO457" s="41"/>
    </row>
    <row r="458" spans="9:41" s="30" customFormat="1">
      <c r="I458" s="69"/>
      <c r="K458" s="44"/>
      <c r="S458" s="41"/>
      <c r="T458" s="53"/>
      <c r="V458" s="53"/>
      <c r="W458" s="53"/>
      <c r="X458" s="53"/>
      <c r="AA458" s="58"/>
      <c r="AB458" s="58"/>
      <c r="AC458" s="41"/>
      <c r="AD458" s="41"/>
      <c r="AE458" s="41"/>
      <c r="AF458" s="41"/>
      <c r="AG458" s="41"/>
      <c r="AH458" s="53"/>
      <c r="AI458" s="53"/>
      <c r="AJ458" s="53"/>
      <c r="AK458" s="53"/>
      <c r="AL458" s="41"/>
      <c r="AM458" s="41"/>
      <c r="AN458" s="41"/>
      <c r="AO458" s="41"/>
    </row>
    <row r="459" spans="9:41" s="30" customFormat="1">
      <c r="I459" s="69"/>
      <c r="K459" s="44"/>
      <c r="S459" s="41"/>
      <c r="T459" s="53"/>
      <c r="V459" s="53"/>
      <c r="W459" s="53"/>
      <c r="X459" s="53"/>
      <c r="AA459" s="58"/>
      <c r="AB459" s="58"/>
      <c r="AC459" s="41"/>
      <c r="AD459" s="41"/>
      <c r="AE459" s="41"/>
      <c r="AF459" s="41"/>
      <c r="AG459" s="41"/>
      <c r="AH459" s="53"/>
      <c r="AI459" s="53"/>
      <c r="AJ459" s="53"/>
      <c r="AK459" s="53"/>
      <c r="AL459" s="41"/>
      <c r="AM459" s="41"/>
      <c r="AN459" s="41"/>
      <c r="AO459" s="41"/>
    </row>
    <row r="460" spans="9:41" s="30" customFormat="1">
      <c r="I460" s="69"/>
      <c r="K460" s="44"/>
      <c r="S460" s="41"/>
      <c r="T460" s="53"/>
      <c r="V460" s="53"/>
      <c r="W460" s="53"/>
      <c r="X460" s="53"/>
      <c r="AA460" s="58"/>
      <c r="AB460" s="58"/>
      <c r="AC460" s="41"/>
      <c r="AD460" s="41"/>
      <c r="AE460" s="41"/>
      <c r="AF460" s="41"/>
      <c r="AG460" s="41"/>
      <c r="AH460" s="53"/>
      <c r="AI460" s="53"/>
      <c r="AJ460" s="53"/>
      <c r="AK460" s="53"/>
      <c r="AL460" s="41"/>
      <c r="AM460" s="41"/>
      <c r="AN460" s="41"/>
      <c r="AO460" s="41"/>
    </row>
    <row r="461" spans="9:41" s="30" customFormat="1">
      <c r="I461" s="69"/>
      <c r="K461" s="44"/>
      <c r="S461" s="41"/>
      <c r="T461" s="53"/>
      <c r="V461" s="53"/>
      <c r="W461" s="53"/>
      <c r="X461" s="53"/>
      <c r="AA461" s="58"/>
      <c r="AB461" s="58"/>
      <c r="AC461" s="41"/>
      <c r="AD461" s="41"/>
      <c r="AE461" s="41"/>
      <c r="AF461" s="41"/>
      <c r="AG461" s="41"/>
      <c r="AH461" s="53"/>
      <c r="AI461" s="53"/>
      <c r="AJ461" s="53"/>
      <c r="AK461" s="53"/>
      <c r="AL461" s="41"/>
      <c r="AM461" s="41"/>
      <c r="AN461" s="41"/>
      <c r="AO461" s="41"/>
    </row>
    <row r="462" spans="9:41" s="30" customFormat="1">
      <c r="I462" s="69"/>
      <c r="K462" s="44"/>
      <c r="S462" s="41"/>
      <c r="T462" s="53"/>
      <c r="V462" s="53"/>
      <c r="W462" s="53"/>
      <c r="X462" s="53"/>
      <c r="AA462" s="58"/>
      <c r="AB462" s="58"/>
      <c r="AC462" s="41"/>
      <c r="AD462" s="41"/>
      <c r="AE462" s="41"/>
      <c r="AF462" s="41"/>
      <c r="AG462" s="41"/>
      <c r="AH462" s="53"/>
      <c r="AI462" s="53"/>
      <c r="AJ462" s="53"/>
      <c r="AK462" s="53"/>
      <c r="AL462" s="41"/>
      <c r="AM462" s="41"/>
      <c r="AN462" s="41"/>
      <c r="AO462" s="41"/>
    </row>
    <row r="463" spans="9:41" s="30" customFormat="1">
      <c r="I463" s="69"/>
      <c r="K463" s="44"/>
      <c r="S463" s="41"/>
      <c r="T463" s="53"/>
      <c r="V463" s="53"/>
      <c r="W463" s="53"/>
      <c r="X463" s="53"/>
      <c r="AA463" s="58"/>
      <c r="AB463" s="58"/>
      <c r="AC463" s="41"/>
      <c r="AD463" s="41"/>
      <c r="AE463" s="41"/>
      <c r="AF463" s="41"/>
      <c r="AG463" s="41"/>
      <c r="AH463" s="53"/>
      <c r="AI463" s="53"/>
      <c r="AJ463" s="53"/>
      <c r="AK463" s="53"/>
      <c r="AL463" s="41"/>
      <c r="AM463" s="41"/>
      <c r="AN463" s="41"/>
      <c r="AO463" s="41"/>
    </row>
    <row r="464" spans="9:41" s="30" customFormat="1">
      <c r="I464" s="69"/>
      <c r="K464" s="44"/>
      <c r="S464" s="41"/>
      <c r="T464" s="53"/>
      <c r="V464" s="53"/>
      <c r="W464" s="53"/>
      <c r="X464" s="53"/>
      <c r="AA464" s="58"/>
      <c r="AB464" s="58"/>
      <c r="AC464" s="41"/>
      <c r="AD464" s="41"/>
      <c r="AE464" s="41"/>
      <c r="AF464" s="41"/>
      <c r="AG464" s="41"/>
      <c r="AH464" s="53"/>
      <c r="AI464" s="53"/>
      <c r="AJ464" s="53"/>
      <c r="AK464" s="53"/>
      <c r="AL464" s="41"/>
      <c r="AM464" s="41"/>
      <c r="AN464" s="41"/>
      <c r="AO464" s="41"/>
    </row>
    <row r="465" spans="9:41" s="30" customFormat="1">
      <c r="I465" s="69"/>
      <c r="K465" s="44"/>
      <c r="S465" s="41"/>
      <c r="T465" s="53"/>
      <c r="V465" s="53"/>
      <c r="W465" s="53"/>
      <c r="X465" s="53"/>
      <c r="AA465" s="58"/>
      <c r="AB465" s="58"/>
      <c r="AC465" s="41"/>
      <c r="AD465" s="41"/>
      <c r="AE465" s="41"/>
      <c r="AF465" s="41"/>
      <c r="AG465" s="41"/>
      <c r="AH465" s="53"/>
      <c r="AI465" s="53"/>
      <c r="AJ465" s="53"/>
      <c r="AK465" s="53"/>
      <c r="AL465" s="41"/>
      <c r="AM465" s="41"/>
      <c r="AN465" s="41"/>
      <c r="AO465" s="41"/>
    </row>
    <row r="466" spans="9:41" s="30" customFormat="1">
      <c r="I466" s="69"/>
      <c r="K466" s="44"/>
      <c r="S466" s="41"/>
      <c r="T466" s="53"/>
      <c r="V466" s="53"/>
      <c r="W466" s="53"/>
      <c r="X466" s="53"/>
      <c r="AA466" s="58"/>
      <c r="AB466" s="58"/>
      <c r="AC466" s="41"/>
      <c r="AD466" s="41"/>
      <c r="AE466" s="41"/>
      <c r="AF466" s="41"/>
      <c r="AG466" s="41"/>
      <c r="AH466" s="53"/>
      <c r="AI466" s="53"/>
      <c r="AJ466" s="53"/>
      <c r="AK466" s="53"/>
      <c r="AL466" s="41"/>
      <c r="AM466" s="41"/>
      <c r="AN466" s="41"/>
      <c r="AO466" s="41"/>
    </row>
    <row r="467" spans="9:41" s="30" customFormat="1">
      <c r="I467" s="69"/>
      <c r="K467" s="44"/>
      <c r="S467" s="41"/>
      <c r="T467" s="53"/>
      <c r="V467" s="53"/>
      <c r="W467" s="53"/>
      <c r="X467" s="53"/>
      <c r="AA467" s="58"/>
      <c r="AB467" s="58"/>
      <c r="AC467" s="41"/>
      <c r="AD467" s="41"/>
      <c r="AE467" s="41"/>
      <c r="AF467" s="41"/>
      <c r="AG467" s="41"/>
      <c r="AH467" s="53"/>
      <c r="AI467" s="53"/>
      <c r="AJ467" s="53"/>
      <c r="AK467" s="53"/>
      <c r="AL467" s="41"/>
      <c r="AM467" s="41"/>
      <c r="AN467" s="41"/>
      <c r="AO467" s="41"/>
    </row>
    <row r="468" spans="9:41" s="30" customFormat="1">
      <c r="I468" s="69"/>
      <c r="K468" s="44"/>
      <c r="S468" s="41"/>
      <c r="T468" s="53"/>
      <c r="V468" s="53"/>
      <c r="W468" s="53"/>
      <c r="X468" s="53"/>
      <c r="AA468" s="58"/>
      <c r="AB468" s="58"/>
      <c r="AC468" s="41"/>
      <c r="AD468" s="41"/>
      <c r="AE468" s="41"/>
      <c r="AF468" s="41"/>
      <c r="AG468" s="41"/>
      <c r="AH468" s="53"/>
      <c r="AI468" s="53"/>
      <c r="AJ468" s="53"/>
      <c r="AK468" s="53"/>
      <c r="AL468" s="41"/>
      <c r="AM468" s="41"/>
      <c r="AN468" s="41"/>
      <c r="AO468" s="41"/>
    </row>
  </sheetData>
  <mergeCells count="17">
    <mergeCell ref="B2:D2"/>
    <mergeCell ref="B4:C4"/>
    <mergeCell ref="AN14:AN15"/>
    <mergeCell ref="AP14:AP15"/>
    <mergeCell ref="AM14:AM15"/>
    <mergeCell ref="AR14:AR15"/>
    <mergeCell ref="B8:D8"/>
    <mergeCell ref="E8:Z8"/>
    <mergeCell ref="E9:Z9"/>
    <mergeCell ref="Z14:AJ14"/>
    <mergeCell ref="AI13:AJ13"/>
    <mergeCell ref="B11:C11"/>
    <mergeCell ref="B14:F14"/>
    <mergeCell ref="G14:I14"/>
    <mergeCell ref="J14:M14"/>
    <mergeCell ref="N14:Y14"/>
    <mergeCell ref="AK14:AK15"/>
  </mergeCells>
  <conditionalFormatting sqref="H17:H23">
    <cfRule type="expression" dxfId="6" priority="2">
      <formula>#REF!="Active"</formula>
    </cfRule>
  </conditionalFormatting>
  <conditionalFormatting sqref="H24">
    <cfRule type="expression" dxfId="5" priority="7">
      <formula>#REF!="Active"</formula>
    </cfRule>
  </conditionalFormatting>
  <conditionalFormatting sqref="I17:I22">
    <cfRule type="expression" dxfId="4" priority="9">
      <formula>#REF!="Active"</formula>
    </cfRule>
  </conditionalFormatting>
  <conditionalFormatting sqref="I23">
    <cfRule type="expression" dxfId="3" priority="3">
      <formula>#REF!="Active"</formula>
    </cfRule>
  </conditionalFormatting>
  <conditionalFormatting sqref="I24">
    <cfRule type="expression" dxfId="2" priority="8">
      <formula>#REF!="Active"</formula>
    </cfRule>
  </conditionalFormatting>
  <conditionalFormatting sqref="N17:N23">
    <cfRule type="expression" dxfId="1" priority="1">
      <formula>#REF!="Active"</formula>
    </cfRule>
  </conditionalFormatting>
  <conditionalFormatting sqref="N24">
    <cfRule type="expression" dxfId="0" priority="6">
      <formula>#REF!="Active"</formula>
    </cfRule>
  </conditionalFormatting>
  <hyperlinks>
    <hyperlink ref="B5" location="'Navigation Pane'!A1" display="Return to Navigation Pane" xr:uid="{52C9AE37-FF46-45F7-9541-DB1A8274C6CE}"/>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Active and Public Transport Network - &amp;A
&amp;"Arial,Bold"&amp;K000000Effective 27th June 2025&amp;R&amp;"Arial,Regular"&amp;10Page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9C43D-8E75-4D3F-BB6F-B2AE1002BC82}">
  <sheetPr codeName="Sheet6"/>
  <dimension ref="A1:MD826"/>
  <sheetViews>
    <sheetView tabSelected="1" zoomScale="70" zoomScaleNormal="70" workbookViewId="0">
      <selection activeCell="D8" sqref="D8:P9"/>
    </sheetView>
  </sheetViews>
  <sheetFormatPr defaultColWidth="14" defaultRowHeight="13.8"/>
  <cols>
    <col min="1" max="1" width="5.796875" style="30" customWidth="1"/>
    <col min="2" max="2" width="18" style="1" customWidth="1"/>
    <col min="3" max="3" width="12" style="1" bestFit="1" customWidth="1"/>
    <col min="4" max="19" width="14.59765625" style="1" customWidth="1"/>
    <col min="20" max="342" width="14" style="30"/>
    <col min="343" max="16384" width="14" style="1"/>
  </cols>
  <sheetData>
    <row r="1" spans="1:19" s="30" customFormat="1">
      <c r="B1" s="412" t="s">
        <v>47</v>
      </c>
    </row>
    <row r="2" spans="1:19" s="30" customFormat="1" ht="24.6">
      <c r="B2" s="619" t="str">
        <f>'Navigation Pane'!B2</f>
        <v>Brisbane City Council</v>
      </c>
      <c r="C2" s="619"/>
      <c r="D2" s="619"/>
      <c r="E2" s="619"/>
      <c r="F2" s="619"/>
      <c r="G2" s="619"/>
      <c r="H2" s="619"/>
      <c r="I2" s="619"/>
      <c r="J2" s="619"/>
      <c r="K2" s="619"/>
      <c r="L2" s="619"/>
    </row>
    <row r="3" spans="1:19" s="30" customFormat="1" ht="24.6">
      <c r="B3" s="619" t="s">
        <v>2229</v>
      </c>
      <c r="C3" s="619"/>
      <c r="D3" s="619"/>
      <c r="E3" s="619"/>
      <c r="F3" s="619"/>
      <c r="G3" s="619"/>
      <c r="H3" s="619"/>
      <c r="I3" s="619"/>
      <c r="J3" s="619"/>
      <c r="K3" s="619"/>
      <c r="L3" s="619"/>
    </row>
    <row r="4" spans="1:19" s="30" customFormat="1">
      <c r="A4" s="45"/>
    </row>
    <row r="5" spans="1:19" s="30" customFormat="1" ht="23.4">
      <c r="B5" s="620" t="s">
        <v>2230</v>
      </c>
      <c r="C5" s="620"/>
      <c r="D5" s="620"/>
      <c r="E5" s="620"/>
      <c r="F5" s="620"/>
      <c r="G5" s="620"/>
      <c r="H5" s="620"/>
      <c r="I5" s="620"/>
      <c r="J5" s="620"/>
      <c r="K5" s="620"/>
      <c r="L5" s="620"/>
    </row>
    <row r="6" spans="1:19" s="30" customFormat="1" ht="14.4" thickBot="1"/>
    <row r="7" spans="1:19" ht="28.2" thickBot="1">
      <c r="B7" s="338" t="s">
        <v>39</v>
      </c>
      <c r="C7" s="327" t="s">
        <v>75</v>
      </c>
      <c r="D7" s="339">
        <v>2021</v>
      </c>
      <c r="E7" s="339">
        <f t="shared" ref="E7:G7" si="0">D7+5</f>
        <v>2026</v>
      </c>
      <c r="F7" s="340">
        <f t="shared" si="0"/>
        <v>2031</v>
      </c>
      <c r="G7" s="340">
        <f t="shared" si="0"/>
        <v>2036</v>
      </c>
      <c r="H7" s="341">
        <v>2041</v>
      </c>
      <c r="I7" s="48"/>
      <c r="J7" s="327" t="s">
        <v>2379</v>
      </c>
      <c r="K7" s="30"/>
      <c r="L7" s="327" t="str">
        <f xml:space="preserve"> "Ultimate Demand"</f>
        <v>Ultimate Demand</v>
      </c>
      <c r="M7" s="327" t="s">
        <v>2320</v>
      </c>
      <c r="N7" s="30"/>
      <c r="O7" s="30"/>
      <c r="P7" s="30"/>
      <c r="Q7" s="30"/>
      <c r="R7" s="30"/>
      <c r="S7" s="30"/>
    </row>
    <row r="8" spans="1:19">
      <c r="B8" s="78">
        <v>1</v>
      </c>
      <c r="C8" s="79" t="s">
        <v>113</v>
      </c>
      <c r="D8" s="80">
        <v>3124508.5999999996</v>
      </c>
      <c r="E8" s="80">
        <v>3309936.9</v>
      </c>
      <c r="F8" s="81">
        <v>3479193.9</v>
      </c>
      <c r="G8" s="81">
        <v>3637134.9</v>
      </c>
      <c r="H8" s="82">
        <v>3811231.0999999996</v>
      </c>
      <c r="I8" s="49"/>
      <c r="J8" s="90">
        <f>NPV(5.91%,E16:S16)</f>
        <v>338990.56498821336</v>
      </c>
      <c r="K8" s="30"/>
      <c r="L8" s="93">
        <v>4872308.5</v>
      </c>
      <c r="M8" s="147">
        <f>(L8-G8)/G8</f>
        <v>0.33960071153808458</v>
      </c>
      <c r="N8" s="30"/>
      <c r="O8" s="46"/>
      <c r="P8" s="30"/>
      <c r="Q8" s="30"/>
      <c r="R8" s="30"/>
      <c r="S8" s="30"/>
    </row>
    <row r="9" spans="1:19">
      <c r="B9" s="78"/>
      <c r="C9" s="83"/>
      <c r="D9" s="80"/>
      <c r="E9" s="80"/>
      <c r="F9" s="81"/>
      <c r="G9" s="81"/>
      <c r="H9" s="82"/>
      <c r="I9" s="49"/>
      <c r="J9" s="90"/>
      <c r="K9" s="30"/>
      <c r="L9" s="93"/>
      <c r="M9" s="147"/>
      <c r="N9" s="30"/>
      <c r="O9" s="30"/>
      <c r="P9" s="30"/>
      <c r="Q9" s="30"/>
      <c r="R9" s="30"/>
      <c r="S9" s="30"/>
    </row>
    <row r="10" spans="1:19" ht="14.4" thickBot="1">
      <c r="B10" s="84"/>
      <c r="C10" s="85"/>
      <c r="D10" s="86"/>
      <c r="E10" s="86"/>
      <c r="F10" s="87"/>
      <c r="G10" s="87"/>
      <c r="H10" s="263"/>
      <c r="I10" s="49"/>
      <c r="J10" s="91"/>
      <c r="K10" s="30"/>
      <c r="L10" s="94"/>
      <c r="M10" s="148"/>
      <c r="N10" s="30"/>
      <c r="O10" s="30"/>
      <c r="P10" s="30"/>
      <c r="Q10" s="30"/>
      <c r="R10" s="30"/>
      <c r="S10" s="30"/>
    </row>
    <row r="11" spans="1:19" ht="14.4" thickBot="1">
      <c r="B11" s="30"/>
      <c r="C11" s="230" t="s">
        <v>41</v>
      </c>
      <c r="D11" s="89">
        <f>SUM(D8:D10)</f>
        <v>3124508.5999999996</v>
      </c>
      <c r="E11" s="89">
        <f>SUM(E8:E10)</f>
        <v>3309936.9</v>
      </c>
      <c r="F11" s="89">
        <f>SUM(F8:F10)</f>
        <v>3479193.9</v>
      </c>
      <c r="G11" s="89">
        <f>SUM(G8:G10)</f>
        <v>3637134.9</v>
      </c>
      <c r="H11" s="89">
        <f>SUM(H8:H10)</f>
        <v>3811231.0999999996</v>
      </c>
      <c r="I11" s="49"/>
      <c r="J11" s="92">
        <f>SUM(J8:J10)</f>
        <v>338990.56498821336</v>
      </c>
      <c r="K11" s="30"/>
      <c r="L11" s="89">
        <f>SUM(L8:L10)</f>
        <v>4872308.5</v>
      </c>
      <c r="M11" s="89"/>
      <c r="N11" s="30"/>
      <c r="O11" s="30"/>
      <c r="P11" s="30"/>
      <c r="Q11" s="30"/>
      <c r="R11" s="30"/>
      <c r="S11" s="30"/>
    </row>
    <row r="12" spans="1:19">
      <c r="B12" s="30"/>
      <c r="C12" s="30"/>
      <c r="D12" s="46"/>
      <c r="E12" s="46"/>
      <c r="F12" s="30"/>
      <c r="G12" s="30"/>
      <c r="H12" s="30"/>
      <c r="I12" s="30"/>
      <c r="J12" s="30"/>
      <c r="K12" s="30"/>
      <c r="L12" s="30"/>
      <c r="M12" s="30"/>
      <c r="N12" s="30"/>
      <c r="O12" s="30"/>
      <c r="P12" s="30"/>
      <c r="Q12" s="30"/>
      <c r="R12" s="30"/>
      <c r="S12" s="30"/>
    </row>
    <row r="13" spans="1:19">
      <c r="B13" s="30"/>
      <c r="C13" s="30"/>
      <c r="D13" s="30"/>
      <c r="E13" s="30"/>
      <c r="F13" s="30"/>
      <c r="G13" s="30"/>
      <c r="H13" s="30"/>
      <c r="I13" s="30"/>
      <c r="J13" s="30"/>
      <c r="K13" s="30"/>
      <c r="L13" s="30"/>
      <c r="M13" s="30"/>
      <c r="N13" s="30"/>
      <c r="O13" s="30"/>
      <c r="P13" s="30"/>
      <c r="Q13" s="30"/>
      <c r="R13" s="30"/>
      <c r="S13" s="30"/>
    </row>
    <row r="14" spans="1:19" ht="24" thickBot="1">
      <c r="B14" s="47" t="s">
        <v>101</v>
      </c>
      <c r="C14" s="47"/>
      <c r="D14" s="47"/>
      <c r="E14" s="47"/>
      <c r="F14" s="47"/>
      <c r="G14" s="47"/>
      <c r="H14" s="47"/>
      <c r="I14" s="47"/>
      <c r="J14" s="47"/>
      <c r="K14" s="47"/>
      <c r="L14" s="47"/>
      <c r="M14" s="30"/>
      <c r="N14" s="30"/>
      <c r="O14" s="30"/>
      <c r="P14" s="30"/>
      <c r="Q14" s="30"/>
      <c r="R14" s="30"/>
      <c r="S14" s="30"/>
    </row>
    <row r="15" spans="1:19" ht="28.2" thickBot="1">
      <c r="B15" s="342" t="s">
        <v>39</v>
      </c>
      <c r="C15" s="328" t="s">
        <v>66</v>
      </c>
      <c r="D15" s="343">
        <v>2021</v>
      </c>
      <c r="E15" s="344">
        <v>2022</v>
      </c>
      <c r="F15" s="344">
        <v>2023</v>
      </c>
      <c r="G15" s="344">
        <v>2024</v>
      </c>
      <c r="H15" s="344">
        <v>2025</v>
      </c>
      <c r="I15" s="344">
        <v>2026</v>
      </c>
      <c r="J15" s="344">
        <f t="shared" ref="J15:S15" si="1">I15 +1</f>
        <v>2027</v>
      </c>
      <c r="K15" s="344">
        <f t="shared" si="1"/>
        <v>2028</v>
      </c>
      <c r="L15" s="344">
        <f t="shared" si="1"/>
        <v>2029</v>
      </c>
      <c r="M15" s="344">
        <f t="shared" si="1"/>
        <v>2030</v>
      </c>
      <c r="N15" s="344">
        <f t="shared" si="1"/>
        <v>2031</v>
      </c>
      <c r="O15" s="344">
        <f t="shared" si="1"/>
        <v>2032</v>
      </c>
      <c r="P15" s="344">
        <f t="shared" si="1"/>
        <v>2033</v>
      </c>
      <c r="Q15" s="344">
        <f t="shared" si="1"/>
        <v>2034</v>
      </c>
      <c r="R15" s="344">
        <f t="shared" si="1"/>
        <v>2035</v>
      </c>
      <c r="S15" s="345">
        <f t="shared" si="1"/>
        <v>2036</v>
      </c>
    </row>
    <row r="16" spans="1:19" ht="14.4">
      <c r="B16" s="95">
        <f>B8</f>
        <v>1</v>
      </c>
      <c r="C16" s="95" t="str">
        <f>C8</f>
        <v>Citywide</v>
      </c>
      <c r="D16" s="101"/>
      <c r="E16" s="98">
        <f>($E$8-$D$8)/5</f>
        <v>37085.660000000054</v>
      </c>
      <c r="F16" s="98">
        <f>($E$8-$D$8)/5</f>
        <v>37085.660000000054</v>
      </c>
      <c r="G16" s="98">
        <f>($E$8-$D$8)/5</f>
        <v>37085.660000000054</v>
      </c>
      <c r="H16" s="98">
        <f>($E$8-$D$8)/5</f>
        <v>37085.660000000054</v>
      </c>
      <c r="I16" s="98">
        <f>($E$8-$D$8)/5</f>
        <v>37085.660000000054</v>
      </c>
      <c r="J16" s="98">
        <f>($F$8-$E$8)/5</f>
        <v>33851.4</v>
      </c>
      <c r="K16" s="98">
        <f>($F$8-$E$8)/5</f>
        <v>33851.4</v>
      </c>
      <c r="L16" s="98">
        <f>($F$8-$E$8)/5</f>
        <v>33851.4</v>
      </c>
      <c r="M16" s="98">
        <f>($F$8-$E$8)/5</f>
        <v>33851.4</v>
      </c>
      <c r="N16" s="98">
        <f>($F$8-$E$8)/5</f>
        <v>33851.4</v>
      </c>
      <c r="O16" s="98">
        <f>($G$8-$F$8)/5</f>
        <v>31588.2</v>
      </c>
      <c r="P16" s="98">
        <f>($G$8-$F$8)/5</f>
        <v>31588.2</v>
      </c>
      <c r="Q16" s="98">
        <f>($G$8-$F$8)/5</f>
        <v>31588.2</v>
      </c>
      <c r="R16" s="98">
        <f>($G$8-$F$8)/5</f>
        <v>31588.2</v>
      </c>
      <c r="S16" s="100">
        <f>($G$8-$F$8)/5</f>
        <v>31588.2</v>
      </c>
    </row>
    <row r="17" spans="2:19" ht="14.4">
      <c r="B17" s="96"/>
      <c r="C17" s="96"/>
      <c r="D17" s="101"/>
      <c r="E17" s="99"/>
      <c r="F17" s="99"/>
      <c r="G17" s="99"/>
      <c r="H17" s="99"/>
      <c r="I17" s="99"/>
      <c r="J17" s="99"/>
      <c r="K17" s="99"/>
      <c r="L17" s="99"/>
      <c r="M17" s="99"/>
      <c r="N17" s="99"/>
      <c r="O17" s="99"/>
      <c r="P17" s="99"/>
      <c r="Q17" s="99"/>
      <c r="R17" s="99"/>
      <c r="S17" s="102"/>
    </row>
    <row r="18" spans="2:19" ht="15" thickBot="1">
      <c r="B18" s="226"/>
      <c r="C18" s="226"/>
      <c r="D18" s="227"/>
      <c r="E18" s="228"/>
      <c r="F18" s="228"/>
      <c r="G18" s="228"/>
      <c r="H18" s="228"/>
      <c r="I18" s="228"/>
      <c r="J18" s="228"/>
      <c r="K18" s="228"/>
      <c r="L18" s="228"/>
      <c r="M18" s="228"/>
      <c r="N18" s="228"/>
      <c r="O18" s="228"/>
      <c r="P18" s="228"/>
      <c r="Q18" s="228"/>
      <c r="R18" s="228"/>
      <c r="S18" s="229"/>
    </row>
    <row r="19" spans="2:19" s="30" customFormat="1"/>
    <row r="20" spans="2:19" s="30" customFormat="1">
      <c r="D20" s="50"/>
    </row>
    <row r="21" spans="2:19" s="30" customFormat="1"/>
    <row r="22" spans="2:19" s="30" customFormat="1"/>
    <row r="23" spans="2:19" s="30" customFormat="1" ht="15" customHeight="1"/>
    <row r="24" spans="2:19" s="30" customFormat="1" ht="15.75" customHeight="1"/>
    <row r="25" spans="2:19" s="30" customFormat="1" ht="15.75" customHeight="1"/>
    <row r="26" spans="2:19" s="30" customFormat="1"/>
    <row r="27" spans="2:19" s="30" customFormat="1"/>
    <row r="28" spans="2:19" s="30" customFormat="1"/>
    <row r="29" spans="2:19" s="30" customFormat="1"/>
    <row r="30" spans="2:19" s="30" customFormat="1"/>
    <row r="31" spans="2:19" s="30" customFormat="1"/>
    <row r="32" spans="2:19"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row r="47" s="30" customFormat="1"/>
    <row r="48" s="30" customFormat="1"/>
    <row r="49" s="30" customFormat="1"/>
    <row r="50" s="30" customFormat="1"/>
    <row r="51" s="30" customFormat="1"/>
    <row r="52" s="30" customFormat="1"/>
    <row r="53" s="30" customFormat="1"/>
    <row r="54" s="30" customFormat="1"/>
    <row r="55" s="30" customFormat="1"/>
    <row r="56" s="30" customFormat="1"/>
    <row r="57" s="30" customFormat="1"/>
    <row r="58" s="30" customFormat="1"/>
    <row r="59" s="30" customFormat="1"/>
    <row r="60" s="30" customFormat="1"/>
    <row r="61" s="30" customFormat="1"/>
    <row r="62" s="30" customFormat="1"/>
    <row r="63" s="30" customFormat="1"/>
    <row r="64"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row r="139" s="30" customFormat="1"/>
    <row r="140" s="30" customFormat="1"/>
    <row r="141" s="30" customFormat="1"/>
    <row r="142" s="30" customFormat="1"/>
    <row r="143" s="30" customFormat="1"/>
    <row r="144" s="30" customFormat="1"/>
    <row r="145" s="30" customFormat="1"/>
    <row r="146" s="30" customFormat="1"/>
    <row r="147" s="30" customFormat="1"/>
    <row r="148" s="30" customFormat="1"/>
    <row r="149" s="30" customFormat="1"/>
    <row r="150" s="30" customFormat="1"/>
    <row r="151" s="30" customFormat="1"/>
    <row r="152" s="30" customFormat="1"/>
    <row r="153" s="30" customFormat="1"/>
    <row r="154" s="30" customFormat="1"/>
    <row r="155" s="30" customFormat="1"/>
    <row r="156" s="30" customFormat="1"/>
    <row r="157" s="30" customFormat="1"/>
    <row r="158" s="30" customFormat="1"/>
    <row r="159" s="30" customFormat="1"/>
    <row r="160" s="30" customFormat="1"/>
    <row r="161" s="30" customFormat="1"/>
    <row r="162" s="30" customFormat="1"/>
    <row r="163" s="30" customFormat="1"/>
    <row r="164" s="30" customFormat="1"/>
    <row r="165" s="30" customFormat="1"/>
    <row r="166" s="30" customFormat="1"/>
    <row r="167" s="30" customFormat="1"/>
    <row r="168" s="30" customFormat="1"/>
    <row r="169" s="30" customFormat="1"/>
    <row r="170" s="30" customFormat="1"/>
    <row r="171" s="30" customFormat="1"/>
    <row r="172" s="30" customFormat="1"/>
    <row r="173" s="30" customFormat="1"/>
    <row r="174" s="30" customFormat="1"/>
    <row r="175" s="30" customFormat="1"/>
    <row r="176" s="30" customFormat="1"/>
    <row r="177" s="30" customFormat="1"/>
    <row r="178" s="30" customFormat="1"/>
    <row r="179" s="30" customFormat="1"/>
    <row r="180" s="30" customFormat="1"/>
    <row r="181" s="30" customFormat="1"/>
    <row r="182" s="30" customFormat="1"/>
    <row r="183" s="30" customFormat="1"/>
    <row r="184" s="30" customFormat="1"/>
    <row r="185" s="30" customFormat="1"/>
    <row r="186" s="30" customFormat="1"/>
    <row r="187" s="30" customFormat="1"/>
    <row r="188" s="30" customFormat="1"/>
    <row r="189" s="30" customFormat="1"/>
    <row r="190" s="30" customFormat="1"/>
    <row r="191" s="30" customFormat="1"/>
    <row r="192" s="30" customFormat="1"/>
    <row r="193" s="30" customFormat="1"/>
    <row r="194" s="30" customFormat="1"/>
    <row r="195" s="30" customFormat="1"/>
    <row r="196" s="30" customFormat="1"/>
    <row r="197" s="30" customFormat="1"/>
    <row r="198" s="30" customFormat="1"/>
    <row r="199" s="30" customFormat="1"/>
    <row r="200" s="30" customFormat="1"/>
    <row r="201" s="30" customFormat="1"/>
    <row r="202" s="30" customFormat="1"/>
    <row r="203" s="30" customFormat="1"/>
    <row r="204" s="30" customFormat="1"/>
    <row r="205" s="30" customFormat="1"/>
    <row r="206" s="30" customFormat="1"/>
    <row r="207" s="30" customFormat="1"/>
    <row r="208" s="30" customFormat="1"/>
    <row r="209" s="30" customFormat="1"/>
    <row r="210" s="30" customFormat="1"/>
    <row r="211" s="30" customFormat="1"/>
    <row r="212" s="30" customFormat="1"/>
    <row r="213" s="30" customFormat="1"/>
    <row r="214" s="30" customFormat="1"/>
    <row r="215" s="30" customFormat="1"/>
    <row r="216" s="30" customFormat="1"/>
    <row r="217" s="30" customFormat="1"/>
    <row r="218" s="30" customFormat="1"/>
    <row r="219" s="30" customFormat="1"/>
    <row r="220" s="30" customFormat="1"/>
    <row r="221" s="30" customFormat="1"/>
    <row r="222" s="30" customFormat="1"/>
    <row r="223" s="30" customFormat="1"/>
    <row r="224" s="30" customFormat="1"/>
    <row r="225" s="30" customFormat="1"/>
    <row r="226" s="30" customFormat="1"/>
    <row r="227" s="30" customFormat="1"/>
    <row r="228" s="30" customFormat="1"/>
    <row r="229" s="30" customFormat="1"/>
    <row r="230" s="30" customFormat="1"/>
    <row r="231" s="30" customFormat="1"/>
    <row r="232" s="30" customFormat="1"/>
    <row r="233" s="30" customFormat="1"/>
    <row r="234" s="30" customFormat="1"/>
    <row r="235" s="30" customFormat="1"/>
    <row r="236" s="30" customFormat="1"/>
    <row r="237" s="30" customFormat="1"/>
    <row r="238" s="30" customFormat="1"/>
    <row r="239" s="30" customFormat="1"/>
    <row r="240" s="30" customFormat="1"/>
    <row r="241" s="30" customFormat="1"/>
    <row r="242" s="30" customFormat="1"/>
    <row r="243" s="30" customFormat="1"/>
    <row r="244" s="30" customFormat="1"/>
    <row r="245" s="30" customFormat="1"/>
    <row r="246" s="30" customFormat="1"/>
    <row r="247" s="30" customFormat="1"/>
    <row r="248" s="30" customFormat="1"/>
    <row r="249" s="30" customFormat="1"/>
    <row r="250" s="30" customFormat="1"/>
    <row r="251" s="30" customFormat="1"/>
    <row r="252" s="30" customFormat="1"/>
    <row r="253" s="30" customFormat="1"/>
    <row r="254" s="30" customFormat="1"/>
    <row r="255" s="30" customFormat="1"/>
    <row r="256" s="30" customFormat="1"/>
    <row r="257" s="30" customFormat="1"/>
    <row r="258" s="30" customFormat="1"/>
    <row r="259" s="30" customFormat="1"/>
    <row r="260" s="30" customFormat="1"/>
    <row r="261" s="30" customFormat="1"/>
    <row r="262" s="30" customFormat="1"/>
    <row r="263" s="30" customFormat="1"/>
    <row r="264" s="30" customFormat="1"/>
    <row r="265" s="30" customFormat="1"/>
    <row r="266" s="30" customFormat="1"/>
    <row r="267" s="30" customFormat="1"/>
    <row r="268" s="30" customFormat="1"/>
    <row r="269" s="30" customFormat="1"/>
    <row r="270" s="30" customFormat="1"/>
    <row r="271" s="30" customFormat="1"/>
    <row r="272" s="30" customFormat="1"/>
    <row r="273" s="30" customFormat="1"/>
    <row r="274" s="30" customFormat="1"/>
    <row r="275" s="30" customFormat="1"/>
    <row r="276" s="30" customFormat="1"/>
    <row r="277" s="30" customFormat="1"/>
    <row r="278" s="30" customFormat="1"/>
    <row r="279" s="30" customFormat="1"/>
    <row r="280" s="30" customFormat="1"/>
    <row r="281" s="30" customFormat="1"/>
    <row r="282" s="30" customFormat="1"/>
    <row r="283" s="30" customFormat="1"/>
    <row r="284" s="30" customFormat="1"/>
    <row r="285" s="30" customFormat="1"/>
    <row r="286" s="30" customFormat="1"/>
    <row r="287" s="30" customFormat="1"/>
    <row r="288" s="30" customFormat="1"/>
    <row r="289" s="30" customFormat="1"/>
    <row r="290" s="30" customFormat="1"/>
    <row r="291" s="30" customFormat="1"/>
    <row r="292" s="30" customFormat="1"/>
    <row r="293" s="30" customFormat="1"/>
    <row r="294" s="30" customFormat="1"/>
    <row r="295" s="30" customFormat="1"/>
    <row r="296" s="30" customFormat="1"/>
    <row r="297" s="30" customFormat="1"/>
    <row r="298" s="30" customFormat="1"/>
    <row r="299" s="30" customFormat="1"/>
    <row r="300" s="30" customFormat="1"/>
    <row r="301" s="30" customFormat="1"/>
    <row r="302" s="30" customFormat="1"/>
    <row r="303" s="30" customFormat="1"/>
    <row r="304" s="30" customFormat="1"/>
    <row r="305" s="30" customFormat="1"/>
    <row r="306" s="30" customFormat="1"/>
    <row r="307" s="30" customFormat="1"/>
    <row r="308" s="30" customFormat="1"/>
    <row r="309" s="30" customFormat="1"/>
    <row r="310" s="30" customFormat="1"/>
    <row r="311" s="30" customFormat="1"/>
    <row r="312" s="30" customFormat="1"/>
    <row r="313" s="30" customFormat="1"/>
    <row r="314" s="30" customFormat="1"/>
    <row r="315" s="30" customFormat="1"/>
    <row r="316" s="30" customFormat="1"/>
    <row r="317" s="30" customFormat="1"/>
    <row r="318" s="30" customFormat="1"/>
    <row r="319" s="30" customFormat="1"/>
    <row r="320" s="30" customFormat="1"/>
    <row r="321" s="30" customFormat="1"/>
    <row r="322" s="30" customFormat="1"/>
    <row r="323" s="30" customFormat="1"/>
    <row r="324" s="30" customFormat="1"/>
    <row r="325" s="30" customFormat="1"/>
    <row r="326" s="30" customFormat="1"/>
    <row r="327" s="30" customFormat="1"/>
    <row r="328" s="30" customFormat="1"/>
    <row r="329" s="30" customFormat="1"/>
    <row r="330" s="30" customFormat="1"/>
    <row r="331" s="30" customFormat="1"/>
    <row r="332" s="30" customFormat="1"/>
    <row r="333" s="30" customFormat="1"/>
    <row r="334" s="30" customFormat="1"/>
    <row r="335" s="30" customFormat="1"/>
    <row r="336" s="30" customFormat="1"/>
    <row r="337" s="30" customFormat="1"/>
    <row r="338" s="30" customFormat="1"/>
    <row r="339" s="30" customFormat="1"/>
    <row r="340" s="30" customFormat="1"/>
    <row r="341" s="30" customFormat="1"/>
    <row r="342" s="30" customFormat="1"/>
    <row r="343" s="30" customFormat="1"/>
    <row r="344" s="30" customFormat="1"/>
    <row r="345" s="30" customFormat="1"/>
    <row r="346" s="30" customFormat="1"/>
    <row r="347" s="30" customFormat="1"/>
    <row r="348" s="30" customFormat="1"/>
    <row r="349" s="30" customFormat="1"/>
    <row r="350" s="30" customFormat="1"/>
    <row r="351" s="30" customFormat="1"/>
    <row r="352" s="30" customFormat="1"/>
    <row r="353" s="30" customFormat="1"/>
    <row r="354" s="30" customFormat="1"/>
    <row r="355" s="30" customFormat="1"/>
    <row r="356" s="30" customFormat="1"/>
    <row r="357" s="30" customFormat="1"/>
    <row r="358" s="30" customFormat="1"/>
    <row r="359" s="30" customFormat="1"/>
    <row r="360" s="30" customFormat="1"/>
    <row r="361" s="30" customFormat="1"/>
    <row r="362" s="30" customFormat="1"/>
    <row r="363" s="30" customFormat="1"/>
    <row r="364" s="30" customFormat="1"/>
    <row r="365" s="30" customFormat="1"/>
    <row r="366" s="30" customFormat="1"/>
    <row r="367" s="30" customFormat="1"/>
    <row r="368" s="30" customFormat="1"/>
    <row r="369" s="30" customFormat="1"/>
    <row r="370" s="30" customFormat="1"/>
    <row r="371" s="30" customFormat="1"/>
    <row r="372" s="30" customFormat="1"/>
    <row r="373" s="30" customFormat="1"/>
    <row r="374" s="30" customFormat="1"/>
    <row r="375" s="30" customFormat="1"/>
    <row r="376" s="30" customFormat="1"/>
    <row r="377" s="30" customFormat="1"/>
    <row r="378" s="30" customFormat="1"/>
    <row r="379" s="30" customFormat="1"/>
    <row r="380" s="30" customFormat="1"/>
    <row r="381" s="30" customFormat="1"/>
    <row r="382" s="30" customFormat="1"/>
    <row r="383" s="30" customFormat="1"/>
    <row r="384" s="30" customFormat="1"/>
    <row r="385" s="30" customFormat="1"/>
    <row r="386" s="30" customFormat="1"/>
    <row r="387" s="30" customFormat="1"/>
    <row r="388" s="30" customFormat="1"/>
    <row r="389" s="30" customFormat="1"/>
    <row r="390" s="30" customFormat="1"/>
    <row r="391" s="30" customFormat="1"/>
    <row r="392" s="30" customFormat="1"/>
    <row r="393" s="30" customFormat="1"/>
    <row r="394" s="30" customFormat="1"/>
    <row r="395" s="30" customFormat="1"/>
    <row r="396" s="30" customFormat="1"/>
    <row r="397" s="30" customFormat="1"/>
    <row r="398" s="30" customFormat="1"/>
    <row r="399" s="30" customFormat="1"/>
    <row r="400" s="30" customFormat="1"/>
    <row r="401" s="30" customFormat="1"/>
    <row r="402" s="30" customFormat="1"/>
    <row r="403" s="30" customFormat="1"/>
    <row r="404" s="30" customFormat="1"/>
    <row r="405" s="30" customFormat="1"/>
    <row r="406" s="30" customFormat="1"/>
    <row r="407" s="30" customFormat="1"/>
    <row r="408" s="30" customFormat="1"/>
    <row r="409" s="30" customFormat="1"/>
    <row r="410" s="30" customFormat="1"/>
    <row r="411" s="30" customFormat="1"/>
    <row r="412" s="30" customFormat="1"/>
    <row r="413" s="30" customFormat="1"/>
    <row r="414" s="30" customFormat="1"/>
    <row r="415" s="30" customFormat="1"/>
    <row r="416" s="30" customFormat="1"/>
    <row r="417" s="30" customFormat="1"/>
    <row r="418" s="30" customFormat="1"/>
    <row r="419" s="30" customFormat="1"/>
    <row r="420" s="30" customFormat="1"/>
    <row r="421" s="30" customFormat="1"/>
    <row r="422" s="30" customFormat="1"/>
    <row r="423" s="30" customFormat="1"/>
    <row r="424" s="30" customFormat="1"/>
    <row r="425" s="30" customFormat="1"/>
    <row r="426" s="30" customFormat="1"/>
    <row r="427" s="30" customFormat="1"/>
    <row r="428" s="30" customFormat="1"/>
    <row r="429" s="30" customFormat="1"/>
    <row r="430" s="30" customFormat="1"/>
    <row r="431" s="30" customFormat="1"/>
    <row r="432" s="30" customFormat="1"/>
    <row r="433" s="30" customFormat="1"/>
    <row r="434" s="30" customFormat="1"/>
    <row r="435" s="30" customFormat="1"/>
    <row r="436" s="30" customFormat="1"/>
    <row r="437" s="30" customFormat="1"/>
    <row r="438" s="30" customFormat="1"/>
    <row r="439" s="30" customFormat="1"/>
    <row r="440" s="30" customFormat="1"/>
    <row r="441" s="30" customFormat="1"/>
    <row r="442" s="30" customFormat="1"/>
    <row r="443" s="30" customFormat="1"/>
    <row r="444" s="30" customFormat="1"/>
    <row r="445" s="30" customFormat="1"/>
    <row r="446" s="30" customFormat="1"/>
    <row r="447" s="30" customFormat="1"/>
    <row r="448" s="30" customFormat="1"/>
    <row r="449" s="30" customFormat="1"/>
    <row r="450" s="30" customFormat="1"/>
    <row r="451" s="30" customFormat="1"/>
    <row r="452" s="30" customFormat="1"/>
    <row r="453" s="30" customFormat="1"/>
    <row r="454" s="30" customFormat="1"/>
    <row r="455" s="30" customFormat="1"/>
    <row r="456" s="30" customFormat="1"/>
    <row r="457" s="30" customFormat="1"/>
    <row r="458" s="30" customFormat="1"/>
    <row r="459" s="30" customFormat="1"/>
    <row r="460" s="30" customFormat="1"/>
    <row r="461" s="30" customFormat="1"/>
    <row r="462" s="30" customFormat="1"/>
    <row r="463" s="30" customFormat="1"/>
    <row r="464" s="30" customFormat="1"/>
    <row r="465" s="30" customFormat="1"/>
    <row r="466" s="30" customFormat="1"/>
    <row r="467" s="30" customFormat="1"/>
    <row r="468" s="30" customFormat="1"/>
    <row r="469" s="30" customFormat="1"/>
    <row r="470" s="30" customFormat="1"/>
    <row r="471" s="30" customFormat="1"/>
    <row r="472" s="30" customFormat="1"/>
    <row r="473" s="30" customFormat="1"/>
    <row r="474" s="30" customFormat="1"/>
    <row r="475" s="30" customFormat="1"/>
    <row r="476" s="30" customFormat="1"/>
    <row r="477" s="30" customFormat="1"/>
    <row r="478" s="30" customFormat="1"/>
    <row r="479" s="30" customFormat="1"/>
    <row r="480" s="30" customFormat="1"/>
    <row r="481" s="30" customFormat="1"/>
    <row r="482" s="30" customFormat="1"/>
    <row r="483" s="30" customFormat="1"/>
    <row r="484" s="30" customFormat="1"/>
    <row r="485" s="30" customFormat="1"/>
    <row r="486" s="30" customFormat="1"/>
    <row r="487" s="30" customFormat="1"/>
    <row r="488" s="30" customFormat="1"/>
    <row r="489" s="30" customFormat="1"/>
    <row r="490" s="30" customFormat="1"/>
    <row r="491" s="30" customFormat="1"/>
    <row r="492" s="30" customFormat="1"/>
    <row r="493" s="30" customFormat="1"/>
    <row r="494" s="30" customFormat="1"/>
    <row r="495" s="30" customFormat="1"/>
    <row r="496" s="30" customFormat="1"/>
    <row r="497" s="30" customFormat="1"/>
    <row r="498" s="30" customFormat="1"/>
    <row r="499" s="30" customFormat="1"/>
    <row r="500" s="30" customFormat="1"/>
    <row r="501" s="30" customFormat="1"/>
    <row r="502" s="30" customFormat="1"/>
    <row r="503" s="30" customFormat="1"/>
    <row r="504" s="30" customFormat="1"/>
    <row r="505" s="30" customFormat="1"/>
    <row r="506" s="30" customFormat="1"/>
    <row r="507" s="30" customFormat="1"/>
    <row r="508" s="30" customFormat="1"/>
    <row r="509" s="30" customFormat="1"/>
    <row r="510" s="30" customFormat="1"/>
    <row r="511" s="30" customFormat="1"/>
    <row r="512" s="30" customFormat="1"/>
    <row r="513" s="30" customFormat="1"/>
    <row r="514" s="30" customFormat="1"/>
    <row r="515" s="30" customFormat="1"/>
    <row r="516" s="30" customFormat="1"/>
    <row r="517" s="30" customFormat="1"/>
    <row r="518" s="30" customFormat="1"/>
    <row r="519" s="30" customFormat="1"/>
    <row r="520" s="30" customFormat="1"/>
    <row r="521" s="30" customFormat="1"/>
    <row r="522" s="30" customFormat="1"/>
    <row r="523" s="30" customFormat="1"/>
    <row r="524" s="30" customFormat="1"/>
    <row r="525" s="30" customFormat="1"/>
    <row r="526" s="30" customFormat="1"/>
    <row r="527" s="30" customFormat="1"/>
    <row r="528" s="30" customFormat="1"/>
    <row r="529" s="30" customFormat="1"/>
    <row r="530" s="30" customFormat="1"/>
    <row r="531" s="30" customFormat="1"/>
    <row r="532" s="30" customFormat="1"/>
    <row r="533" s="30" customFormat="1"/>
    <row r="534" s="30" customFormat="1"/>
    <row r="535" s="30" customFormat="1"/>
    <row r="536" s="30" customFormat="1"/>
    <row r="537" s="30" customFormat="1"/>
    <row r="538" s="30" customFormat="1"/>
    <row r="539" s="30" customFormat="1"/>
    <row r="540" s="30" customFormat="1"/>
    <row r="541" s="30" customFormat="1"/>
    <row r="542" s="30" customFormat="1"/>
    <row r="543" s="30" customFormat="1"/>
    <row r="544" s="30" customFormat="1"/>
    <row r="545" s="30" customFormat="1"/>
    <row r="546" s="30" customFormat="1"/>
    <row r="547" s="30" customFormat="1"/>
    <row r="548" s="30" customFormat="1"/>
    <row r="549" s="30" customFormat="1"/>
    <row r="550" s="30" customFormat="1"/>
    <row r="551" s="30" customFormat="1"/>
    <row r="552" s="30" customFormat="1"/>
    <row r="553" s="30" customFormat="1"/>
    <row r="554" s="30" customFormat="1"/>
    <row r="555" s="30" customFormat="1"/>
    <row r="556" s="30" customFormat="1"/>
    <row r="557" s="30" customFormat="1"/>
    <row r="558" s="30" customFormat="1"/>
    <row r="559" s="30" customFormat="1"/>
    <row r="560" s="30" customFormat="1"/>
    <row r="561" s="30" customFormat="1"/>
    <row r="562" s="30" customFormat="1"/>
    <row r="563" s="30" customFormat="1"/>
    <row r="564" s="30" customFormat="1"/>
    <row r="565" s="30" customFormat="1"/>
    <row r="566" s="30" customFormat="1"/>
    <row r="567" s="30" customFormat="1"/>
    <row r="568" s="30" customFormat="1"/>
    <row r="569" s="30" customFormat="1"/>
    <row r="570" s="30" customFormat="1"/>
    <row r="571" s="30" customFormat="1"/>
    <row r="572" s="30" customFormat="1"/>
    <row r="573" s="30" customFormat="1"/>
    <row r="574" s="30" customFormat="1"/>
    <row r="575" s="30" customFormat="1"/>
    <row r="576" s="30" customFormat="1"/>
    <row r="577" s="30" customFormat="1"/>
    <row r="578" s="30" customFormat="1"/>
    <row r="579" s="30" customFormat="1"/>
    <row r="580" s="30" customFormat="1"/>
    <row r="581" s="30" customFormat="1"/>
    <row r="582" s="30" customFormat="1"/>
    <row r="583" s="30" customFormat="1"/>
    <row r="584" s="30" customFormat="1"/>
    <row r="585" s="30" customFormat="1"/>
    <row r="586" s="30" customFormat="1"/>
    <row r="587" s="30" customFormat="1"/>
    <row r="588" s="30" customFormat="1"/>
    <row r="589" s="30" customFormat="1"/>
    <row r="590" s="30" customFormat="1"/>
    <row r="591" s="30" customFormat="1"/>
    <row r="592" s="30" customFormat="1"/>
    <row r="593" s="30" customFormat="1"/>
    <row r="594" s="30" customFormat="1"/>
    <row r="595" s="30" customFormat="1"/>
    <row r="596" s="30" customFormat="1"/>
    <row r="597" s="30" customFormat="1"/>
    <row r="598" s="30" customFormat="1"/>
    <row r="599" s="30" customFormat="1"/>
    <row r="600" s="30" customFormat="1"/>
    <row r="601" s="30" customFormat="1"/>
    <row r="602" s="30" customFormat="1"/>
    <row r="603" s="30" customFormat="1"/>
    <row r="604" s="30" customFormat="1"/>
    <row r="605" s="30" customFormat="1"/>
    <row r="606" s="30" customFormat="1"/>
    <row r="607" s="30" customFormat="1"/>
    <row r="608" s="30" customFormat="1"/>
    <row r="609" s="30" customFormat="1"/>
    <row r="610" s="30" customFormat="1"/>
    <row r="611" s="30" customFormat="1"/>
    <row r="612" s="30" customFormat="1"/>
    <row r="613" s="30" customFormat="1"/>
    <row r="614" s="30" customFormat="1"/>
    <row r="615" s="30" customFormat="1"/>
    <row r="616" s="30" customFormat="1"/>
    <row r="617" s="30" customFormat="1"/>
    <row r="618" s="30" customFormat="1"/>
    <row r="619" s="30" customFormat="1"/>
    <row r="620" s="30" customFormat="1"/>
    <row r="621" s="30" customFormat="1"/>
    <row r="622" s="30" customFormat="1"/>
    <row r="623" s="30" customFormat="1"/>
    <row r="624" s="30" customFormat="1"/>
    <row r="625" s="30" customFormat="1"/>
    <row r="626" s="30" customFormat="1"/>
    <row r="627" s="30" customFormat="1"/>
    <row r="628" s="30" customFormat="1"/>
    <row r="629" s="30" customFormat="1"/>
    <row r="630" s="30" customFormat="1"/>
    <row r="631" s="30" customFormat="1"/>
    <row r="632" s="30" customFormat="1"/>
    <row r="633" s="30" customFormat="1"/>
    <row r="634" s="30" customFormat="1"/>
    <row r="635" s="30" customFormat="1"/>
    <row r="636" s="30" customFormat="1"/>
    <row r="637" s="30" customFormat="1"/>
    <row r="638" s="30" customFormat="1"/>
    <row r="639" s="30" customFormat="1"/>
    <row r="640" s="30" customFormat="1"/>
    <row r="641" s="30" customFormat="1"/>
    <row r="642" s="30" customFormat="1"/>
    <row r="643" s="30" customFormat="1"/>
    <row r="644" s="30" customFormat="1"/>
    <row r="645" s="30" customFormat="1"/>
    <row r="646" s="30" customFormat="1"/>
    <row r="647" s="30" customFormat="1"/>
    <row r="648" s="30" customFormat="1"/>
    <row r="649" s="30" customFormat="1"/>
    <row r="650" s="30" customFormat="1"/>
    <row r="651" s="30" customFormat="1"/>
    <row r="652" s="30" customFormat="1"/>
    <row r="653" s="30" customFormat="1"/>
    <row r="654" s="30" customFormat="1"/>
    <row r="655" s="30" customFormat="1"/>
    <row r="656" s="30" customFormat="1"/>
    <row r="657" s="30" customFormat="1"/>
    <row r="658" s="30" customFormat="1"/>
    <row r="659" s="30" customFormat="1"/>
    <row r="660" s="30" customFormat="1"/>
    <row r="661" s="30" customFormat="1"/>
    <row r="662" s="30" customFormat="1"/>
    <row r="663" s="30" customFormat="1"/>
    <row r="664" s="30" customFormat="1"/>
    <row r="665" s="30" customFormat="1"/>
    <row r="666" s="30" customFormat="1"/>
    <row r="667" s="30" customFormat="1"/>
    <row r="668" s="30" customFormat="1"/>
    <row r="669" s="30" customFormat="1"/>
    <row r="670" s="30" customFormat="1"/>
    <row r="671" s="30" customFormat="1"/>
    <row r="672" s="30" customFormat="1"/>
    <row r="673" s="30" customFormat="1"/>
    <row r="674" s="30" customFormat="1"/>
    <row r="675" s="30" customFormat="1"/>
    <row r="676" s="30" customFormat="1"/>
    <row r="677" s="30" customFormat="1"/>
    <row r="678" s="30" customFormat="1"/>
    <row r="679" s="30" customFormat="1"/>
    <row r="680" s="30" customFormat="1"/>
    <row r="681" s="30" customFormat="1"/>
    <row r="682" s="30" customFormat="1"/>
    <row r="683" s="30" customFormat="1"/>
    <row r="684" s="30" customFormat="1"/>
    <row r="685" s="30" customFormat="1"/>
    <row r="686" s="30" customFormat="1"/>
    <row r="687" s="30" customFormat="1"/>
    <row r="688" s="30" customFormat="1"/>
    <row r="689" s="30" customFormat="1"/>
    <row r="690" s="30" customFormat="1"/>
    <row r="691" s="30" customFormat="1"/>
    <row r="692" s="30" customFormat="1"/>
    <row r="693" s="30" customFormat="1"/>
    <row r="694" s="30" customFormat="1"/>
    <row r="695" s="30" customFormat="1"/>
    <row r="696" s="30" customFormat="1"/>
    <row r="697" s="30" customFormat="1"/>
    <row r="698" s="30" customFormat="1"/>
    <row r="699" s="30" customFormat="1"/>
    <row r="700" s="30" customFormat="1"/>
    <row r="701" s="30" customFormat="1"/>
    <row r="702" s="30" customFormat="1"/>
    <row r="703" s="30" customFormat="1"/>
    <row r="704" s="30" customFormat="1"/>
    <row r="705" s="30" customFormat="1"/>
    <row r="706" s="30" customFormat="1"/>
    <row r="707" s="30" customFormat="1"/>
    <row r="708" s="30" customFormat="1"/>
    <row r="709" s="30" customFormat="1"/>
    <row r="710" s="30" customFormat="1"/>
    <row r="711" s="30" customFormat="1"/>
    <row r="712" s="30" customFormat="1"/>
    <row r="713" s="30" customFormat="1"/>
    <row r="714" s="30" customFormat="1"/>
    <row r="715" s="30" customFormat="1"/>
    <row r="716" s="30" customFormat="1"/>
    <row r="717" s="30" customFormat="1"/>
    <row r="718" s="30" customFormat="1"/>
    <row r="719" s="30" customFormat="1"/>
    <row r="720" s="30" customFormat="1"/>
    <row r="721" s="30" customFormat="1"/>
    <row r="722" s="30" customFormat="1"/>
    <row r="723" s="30" customFormat="1"/>
    <row r="724" s="30" customFormat="1"/>
    <row r="725" s="30" customFormat="1"/>
    <row r="726" s="30" customFormat="1"/>
    <row r="727" s="30" customFormat="1"/>
    <row r="728" s="30" customFormat="1"/>
    <row r="729" s="30" customFormat="1"/>
    <row r="730" s="30" customFormat="1"/>
    <row r="731" s="30" customFormat="1"/>
    <row r="732" s="30" customFormat="1"/>
    <row r="733" s="30" customFormat="1"/>
    <row r="734" s="30" customFormat="1"/>
    <row r="735" s="30" customFormat="1"/>
    <row r="736" s="30" customFormat="1"/>
    <row r="737" s="30" customFormat="1"/>
    <row r="738" s="30" customFormat="1"/>
    <row r="739" s="30" customFormat="1"/>
    <row r="740" s="30" customFormat="1"/>
    <row r="741" s="30" customFormat="1"/>
    <row r="742" s="30" customFormat="1"/>
    <row r="743" s="30" customFormat="1"/>
    <row r="744" s="30" customFormat="1"/>
    <row r="745" s="30" customFormat="1"/>
    <row r="746" s="30" customFormat="1"/>
    <row r="747" s="30" customFormat="1"/>
    <row r="748" s="30" customFormat="1"/>
    <row r="749" s="30" customFormat="1"/>
    <row r="750" s="30" customFormat="1"/>
    <row r="751" s="30" customFormat="1"/>
    <row r="752" s="30" customFormat="1"/>
    <row r="753" s="30" customFormat="1"/>
    <row r="754" s="30" customFormat="1"/>
    <row r="755" s="30" customFormat="1"/>
    <row r="756" s="30" customFormat="1"/>
    <row r="757" s="30" customFormat="1"/>
    <row r="758" s="30" customFormat="1"/>
    <row r="759" s="30" customFormat="1"/>
    <row r="760" s="30" customFormat="1"/>
    <row r="761" s="30" customFormat="1"/>
    <row r="762" s="30" customFormat="1"/>
    <row r="763" s="30" customFormat="1"/>
    <row r="764" s="30" customFormat="1"/>
    <row r="765" s="30" customFormat="1"/>
    <row r="766" s="30" customFormat="1"/>
    <row r="767" s="30" customFormat="1"/>
    <row r="768" s="30" customFormat="1"/>
    <row r="769" s="30" customFormat="1"/>
    <row r="770" s="30" customFormat="1"/>
    <row r="771" s="30" customFormat="1"/>
    <row r="772" s="30" customFormat="1"/>
    <row r="773" s="30" customFormat="1"/>
    <row r="774" s="30" customFormat="1"/>
    <row r="775" s="30" customFormat="1"/>
    <row r="776" s="30" customFormat="1"/>
    <row r="777" s="30" customFormat="1"/>
    <row r="778" s="30" customFormat="1"/>
    <row r="779" s="30" customFormat="1"/>
    <row r="780" s="30" customFormat="1"/>
    <row r="781" s="30" customFormat="1"/>
    <row r="782" s="30" customFormat="1"/>
    <row r="783" s="30" customFormat="1"/>
    <row r="784" s="30" customFormat="1"/>
    <row r="785" s="30" customFormat="1"/>
    <row r="786" s="30" customFormat="1"/>
    <row r="787" s="30" customFormat="1"/>
    <row r="788" s="30" customFormat="1"/>
    <row r="789" s="30" customFormat="1"/>
    <row r="790" s="30" customFormat="1"/>
    <row r="791" s="30" customFormat="1"/>
    <row r="792" s="30" customFormat="1"/>
    <row r="793" s="30" customFormat="1"/>
    <row r="794" s="30" customFormat="1"/>
    <row r="795" s="30" customFormat="1"/>
    <row r="796" s="30" customFormat="1"/>
    <row r="797" s="30" customFormat="1"/>
    <row r="798" s="30" customFormat="1"/>
    <row r="799" s="30" customFormat="1"/>
    <row r="800" s="30" customFormat="1"/>
    <row r="801" s="30" customFormat="1"/>
    <row r="802" s="30" customFormat="1"/>
    <row r="803" s="30" customFormat="1"/>
    <row r="804" s="30" customFormat="1"/>
    <row r="805" s="30" customFormat="1"/>
    <row r="806" s="30" customFormat="1"/>
    <row r="807" s="30" customFormat="1"/>
    <row r="808" s="30" customFormat="1"/>
    <row r="809" s="30" customFormat="1"/>
    <row r="810" s="30" customFormat="1"/>
    <row r="811" s="30" customFormat="1"/>
    <row r="812" s="30" customFormat="1"/>
    <row r="813" s="30" customFormat="1"/>
    <row r="814" s="30" customFormat="1"/>
    <row r="815" s="30" customFormat="1"/>
    <row r="816" s="30" customFormat="1"/>
    <row r="817" s="30" customFormat="1"/>
    <row r="818" s="30" customFormat="1"/>
    <row r="819" s="30" customFormat="1"/>
    <row r="820" s="30" customFormat="1"/>
    <row r="821" s="30" customFormat="1"/>
    <row r="822" s="30" customFormat="1"/>
    <row r="823" s="30" customFormat="1"/>
    <row r="824" s="30" customFormat="1"/>
    <row r="825" s="30" customFormat="1"/>
    <row r="826" s="30" customFormat="1"/>
  </sheetData>
  <mergeCells count="3">
    <mergeCell ref="B2:L2"/>
    <mergeCell ref="B3:L3"/>
    <mergeCell ref="B5:L5"/>
  </mergeCells>
  <hyperlinks>
    <hyperlink ref="B1" location="'Navigation Pane'!A1" display="Return to Navigation Pane" xr:uid="{C8FC97B8-8306-4A5E-A195-F579AE0F3ED4}"/>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Active and Public Transport Network - &amp;A
&amp;"Arial,Bold"&amp;K000000Effective 27th June 2025&amp;R&amp;"Arial,Regular"&amp;10Page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B4869-4741-4F26-A275-8CA98B29C0AB}">
  <sheetPr codeName="Sheet7"/>
  <dimension ref="A1:MD24"/>
  <sheetViews>
    <sheetView tabSelected="1" zoomScale="70" zoomScaleNormal="70" workbookViewId="0">
      <selection activeCell="D8" sqref="D8:P9"/>
    </sheetView>
  </sheetViews>
  <sheetFormatPr defaultColWidth="9" defaultRowHeight="13.8"/>
  <cols>
    <col min="1" max="1" width="3" style="30" customWidth="1"/>
    <col min="2" max="2" width="24.5" style="30" customWidth="1"/>
    <col min="3" max="3" width="21.5" style="30" bestFit="1" customWidth="1"/>
    <col min="4" max="4" width="8.796875" style="30" bestFit="1" customWidth="1"/>
    <col min="5" max="5" width="8.09765625" style="30" bestFit="1" customWidth="1"/>
    <col min="6" max="6" width="8.796875" style="30" bestFit="1" customWidth="1"/>
    <col min="7" max="8" width="9.19921875" style="30" bestFit="1" customWidth="1"/>
    <col min="9" max="9" width="7.09765625" style="30" bestFit="1" customWidth="1"/>
    <col min="10" max="10" width="17.09765625" style="30" bestFit="1" customWidth="1"/>
    <col min="11" max="11" width="7.5" style="30" bestFit="1" customWidth="1"/>
    <col min="12" max="12" width="17.09765625" style="30" bestFit="1" customWidth="1"/>
    <col min="13" max="13" width="15.5" style="30" bestFit="1" customWidth="1"/>
    <col min="14" max="14" width="7.5" style="30" bestFit="1" customWidth="1"/>
    <col min="15" max="19" width="6.19921875" style="30" bestFit="1" customWidth="1"/>
    <col min="20" max="16384" width="9" style="30"/>
  </cols>
  <sheetData>
    <row r="1" spans="1:342" ht="14.4" thickBot="1">
      <c r="B1" s="412" t="s">
        <v>47</v>
      </c>
    </row>
    <row r="2" spans="1:342" ht="25.2" thickBot="1">
      <c r="B2" s="621" t="str">
        <f>'Navigation Pane'!B2</f>
        <v>Brisbane City Council</v>
      </c>
      <c r="C2" s="622"/>
      <c r="D2" s="622"/>
      <c r="E2" s="622"/>
      <c r="F2" s="622"/>
      <c r="G2" s="622"/>
      <c r="H2" s="622"/>
      <c r="I2" s="622"/>
      <c r="J2" s="622"/>
      <c r="K2" s="622"/>
      <c r="L2" s="623"/>
    </row>
    <row r="3" spans="1:342" ht="25.2" thickBot="1">
      <c r="B3" s="233"/>
      <c r="C3" s="233"/>
      <c r="D3" s="233"/>
      <c r="E3" s="233"/>
      <c r="F3" s="233"/>
      <c r="G3" s="233"/>
      <c r="H3" s="233"/>
      <c r="I3" s="233"/>
      <c r="J3" s="233"/>
      <c r="K3" s="233"/>
      <c r="L3" s="233"/>
    </row>
    <row r="4" spans="1:342" ht="25.2" thickBot="1">
      <c r="B4" s="621" t="s">
        <v>2302</v>
      </c>
      <c r="C4" s="622"/>
      <c r="D4" s="622"/>
      <c r="E4" s="622"/>
      <c r="F4" s="622"/>
      <c r="G4" s="622"/>
      <c r="H4" s="622"/>
      <c r="I4" s="622"/>
      <c r="J4" s="622"/>
      <c r="K4" s="622"/>
      <c r="L4" s="623"/>
    </row>
    <row r="5" spans="1:342" ht="14.4" thickBot="1">
      <c r="A5" s="45"/>
    </row>
    <row r="6" spans="1:342" ht="24" thickBot="1">
      <c r="B6" s="624" t="s">
        <v>2230</v>
      </c>
      <c r="C6" s="625"/>
      <c r="D6" s="625"/>
      <c r="E6" s="625"/>
      <c r="F6" s="625"/>
      <c r="G6" s="625"/>
      <c r="H6" s="625"/>
      <c r="I6" s="625"/>
      <c r="J6" s="625"/>
      <c r="K6" s="625"/>
      <c r="L6" s="626"/>
    </row>
    <row r="7" spans="1:342" ht="14.4" thickBot="1"/>
    <row r="8" spans="1:342" s="1" customFormat="1" ht="28.2" thickBot="1">
      <c r="A8" s="191"/>
      <c r="B8" s="337" t="s">
        <v>39</v>
      </c>
      <c r="C8" s="337" t="s">
        <v>75</v>
      </c>
      <c r="D8" s="339">
        <v>2021</v>
      </c>
      <c r="E8" s="339">
        <f t="shared" ref="E8:G8" si="0">D8+5</f>
        <v>2026</v>
      </c>
      <c r="F8" s="340">
        <f t="shared" si="0"/>
        <v>2031</v>
      </c>
      <c r="G8" s="346">
        <f t="shared" si="0"/>
        <v>2036</v>
      </c>
      <c r="H8" s="347">
        <v>2041</v>
      </c>
      <c r="I8" s="348"/>
      <c r="J8" s="327" t="s">
        <v>2379</v>
      </c>
      <c r="K8" s="349"/>
      <c r="L8" s="327" t="str">
        <f xml:space="preserve"> "Ultimate Demand"</f>
        <v>Ultimate Demand</v>
      </c>
      <c r="M8" s="327" t="s">
        <v>2320</v>
      </c>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c r="II8" s="30"/>
      <c r="IJ8" s="30"/>
      <c r="IK8" s="30"/>
      <c r="IL8" s="30"/>
      <c r="IM8" s="30"/>
      <c r="IN8" s="30"/>
      <c r="IO8" s="30"/>
      <c r="IP8" s="30"/>
      <c r="IQ8" s="30"/>
      <c r="IR8" s="30"/>
      <c r="IS8" s="30"/>
      <c r="IT8" s="30"/>
      <c r="IU8" s="30"/>
      <c r="IV8" s="30"/>
      <c r="IW8" s="30"/>
      <c r="IX8" s="30"/>
      <c r="IY8" s="30"/>
      <c r="IZ8" s="30"/>
      <c r="JA8" s="30"/>
      <c r="JB8" s="30"/>
      <c r="JC8" s="30"/>
      <c r="JD8" s="30"/>
      <c r="JE8" s="30"/>
      <c r="JF8" s="30"/>
      <c r="JG8" s="30"/>
      <c r="JH8" s="30"/>
      <c r="JI8" s="30"/>
      <c r="JJ8" s="30"/>
      <c r="JK8" s="30"/>
      <c r="JL8" s="30"/>
      <c r="JM8" s="30"/>
      <c r="JN8" s="30"/>
      <c r="JO8" s="30"/>
      <c r="JP8" s="30"/>
      <c r="JQ8" s="30"/>
      <c r="JR8" s="30"/>
      <c r="JS8" s="30"/>
      <c r="JT8" s="30"/>
      <c r="JU8" s="30"/>
      <c r="JV8" s="30"/>
      <c r="JW8" s="30"/>
      <c r="JX8" s="30"/>
      <c r="JY8" s="30"/>
      <c r="JZ8" s="30"/>
      <c r="KA8" s="30"/>
      <c r="KB8" s="30"/>
      <c r="KC8" s="30"/>
      <c r="KD8" s="30"/>
      <c r="KE8" s="30"/>
      <c r="KF8" s="30"/>
      <c r="KG8" s="30"/>
      <c r="KH8" s="30"/>
      <c r="KI8" s="30"/>
      <c r="KJ8" s="30"/>
      <c r="KK8" s="30"/>
      <c r="KL8" s="30"/>
      <c r="KM8" s="30"/>
      <c r="KN8" s="30"/>
      <c r="KO8" s="30"/>
      <c r="KP8" s="30"/>
      <c r="KQ8" s="30"/>
      <c r="KR8" s="30"/>
      <c r="KS8" s="30"/>
      <c r="KT8" s="30"/>
      <c r="KU8" s="30"/>
      <c r="KV8" s="30"/>
      <c r="KW8" s="30"/>
      <c r="KX8" s="30"/>
      <c r="KY8" s="30"/>
      <c r="KZ8" s="30"/>
      <c r="LA8" s="30"/>
      <c r="LB8" s="30"/>
      <c r="LC8" s="30"/>
      <c r="LD8" s="30"/>
      <c r="LE8" s="30"/>
      <c r="LF8" s="30"/>
      <c r="LG8" s="30"/>
      <c r="LH8" s="30"/>
      <c r="LI8" s="30"/>
      <c r="LJ8" s="30"/>
      <c r="LK8" s="30"/>
      <c r="LL8" s="30"/>
      <c r="LM8" s="30"/>
      <c r="LN8" s="30"/>
      <c r="LO8" s="30"/>
      <c r="LP8" s="30"/>
      <c r="LQ8" s="30"/>
      <c r="LR8" s="30"/>
      <c r="LS8" s="30"/>
      <c r="LT8" s="30"/>
      <c r="LU8" s="30"/>
      <c r="LV8" s="30"/>
      <c r="LW8" s="30"/>
      <c r="LX8" s="30"/>
      <c r="LY8" s="30"/>
      <c r="LZ8" s="30"/>
      <c r="MA8" s="30"/>
      <c r="MB8" s="30"/>
      <c r="MC8" s="30"/>
      <c r="MD8" s="30"/>
    </row>
    <row r="9" spans="1:342" s="1" customFormat="1">
      <c r="A9" s="191"/>
      <c r="B9" s="519">
        <v>1</v>
      </c>
      <c r="C9" s="520" t="s">
        <v>113</v>
      </c>
      <c r="D9" s="231">
        <v>88559.83746000001</v>
      </c>
      <c r="E9" s="231">
        <v>94191.214500000002</v>
      </c>
      <c r="F9" s="232">
        <v>99354.351600000009</v>
      </c>
      <c r="G9" s="265">
        <v>104137.79823</v>
      </c>
      <c r="H9" s="266">
        <v>109415.19042</v>
      </c>
      <c r="I9" s="264"/>
      <c r="J9" s="90">
        <f>NPV(5.91%,$E16:$S16)</f>
        <v>10303.238589087492</v>
      </c>
      <c r="K9" s="30"/>
      <c r="L9" s="93">
        <v>142050.32127000001</v>
      </c>
      <c r="M9" s="186">
        <f>(L9-G9)/G9</f>
        <v>0.3640611159865888</v>
      </c>
      <c r="N9" s="30"/>
      <c r="O9" s="46"/>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c r="IY9" s="30"/>
      <c r="IZ9" s="30"/>
      <c r="JA9" s="30"/>
      <c r="JB9" s="30"/>
      <c r="JC9" s="30"/>
      <c r="JD9" s="30"/>
      <c r="JE9" s="30"/>
      <c r="JF9" s="30"/>
      <c r="JG9" s="30"/>
      <c r="JH9" s="30"/>
      <c r="JI9" s="30"/>
      <c r="JJ9" s="30"/>
      <c r="JK9" s="30"/>
      <c r="JL9" s="30"/>
      <c r="JM9" s="30"/>
      <c r="JN9" s="30"/>
      <c r="JO9" s="30"/>
      <c r="JP9" s="30"/>
      <c r="JQ9" s="30"/>
      <c r="JR9" s="30"/>
      <c r="JS9" s="30"/>
      <c r="JT9" s="30"/>
      <c r="JU9" s="30"/>
      <c r="JV9" s="30"/>
      <c r="JW9" s="30"/>
      <c r="JX9" s="30"/>
      <c r="JY9" s="30"/>
      <c r="JZ9" s="30"/>
      <c r="KA9" s="30"/>
      <c r="KB9" s="30"/>
      <c r="KC9" s="30"/>
      <c r="KD9" s="30"/>
      <c r="KE9" s="30"/>
      <c r="KF9" s="30"/>
      <c r="KG9" s="30"/>
      <c r="KH9" s="30"/>
      <c r="KI9" s="30"/>
      <c r="KJ9" s="30"/>
      <c r="KK9" s="30"/>
      <c r="KL9" s="30"/>
      <c r="KM9" s="30"/>
      <c r="KN9" s="30"/>
      <c r="KO9" s="30"/>
      <c r="KP9" s="30"/>
      <c r="KQ9" s="30"/>
      <c r="KR9" s="30"/>
      <c r="KS9" s="30"/>
      <c r="KT9" s="30"/>
      <c r="KU9" s="30"/>
      <c r="KV9" s="30"/>
      <c r="KW9" s="30"/>
      <c r="KX9" s="30"/>
      <c r="KY9" s="30"/>
      <c r="KZ9" s="30"/>
      <c r="LA9" s="30"/>
      <c r="LB9" s="30"/>
      <c r="LC9" s="30"/>
      <c r="LD9" s="30"/>
      <c r="LE9" s="30"/>
      <c r="LF9" s="30"/>
      <c r="LG9" s="30"/>
      <c r="LH9" s="30"/>
      <c r="LI9" s="30"/>
      <c r="LJ9" s="30"/>
      <c r="LK9" s="30"/>
      <c r="LL9" s="30"/>
      <c r="LM9" s="30"/>
      <c r="LN9" s="30"/>
      <c r="LO9" s="30"/>
      <c r="LP9" s="30"/>
      <c r="LQ9" s="30"/>
      <c r="LR9" s="30"/>
      <c r="LS9" s="30"/>
      <c r="LT9" s="30"/>
      <c r="LU9" s="30"/>
      <c r="LV9" s="30"/>
      <c r="LW9" s="30"/>
      <c r="LX9" s="30"/>
      <c r="LY9" s="30"/>
      <c r="LZ9" s="30"/>
      <c r="MA9" s="30"/>
      <c r="MB9" s="30"/>
      <c r="MC9" s="30"/>
      <c r="MD9" s="30"/>
    </row>
    <row r="10" spans="1:342" s="1" customFormat="1" ht="14.4" thickBot="1">
      <c r="A10" s="30"/>
      <c r="B10" s="84"/>
      <c r="C10" s="521"/>
      <c r="D10" s="522"/>
      <c r="E10" s="522"/>
      <c r="F10" s="523"/>
      <c r="G10" s="523"/>
      <c r="H10" s="88"/>
      <c r="I10" s="49"/>
      <c r="J10" s="514"/>
      <c r="K10" s="30"/>
      <c r="L10" s="516"/>
      <c r="M10" s="517"/>
      <c r="N10" s="30"/>
      <c r="O10" s="46"/>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c r="IY10" s="30"/>
      <c r="IZ10" s="30"/>
      <c r="JA10" s="30"/>
      <c r="JB10" s="30"/>
      <c r="JC10" s="30"/>
      <c r="JD10" s="30"/>
      <c r="JE10" s="30"/>
      <c r="JF10" s="30"/>
      <c r="JG10" s="30"/>
      <c r="JH10" s="30"/>
      <c r="JI10" s="30"/>
      <c r="JJ10" s="30"/>
      <c r="JK10" s="30"/>
      <c r="JL10" s="30"/>
      <c r="JM10" s="30"/>
      <c r="JN10" s="30"/>
      <c r="JO10" s="30"/>
      <c r="JP10" s="30"/>
      <c r="JQ10" s="30"/>
      <c r="JR10" s="30"/>
      <c r="JS10" s="30"/>
      <c r="JT10" s="30"/>
      <c r="JU10" s="30"/>
      <c r="JV10" s="30"/>
      <c r="JW10" s="30"/>
      <c r="JX10" s="30"/>
      <c r="JY10" s="30"/>
      <c r="JZ10" s="30"/>
      <c r="KA10" s="30"/>
      <c r="KB10" s="30"/>
      <c r="KC10" s="30"/>
      <c r="KD10" s="30"/>
      <c r="KE10" s="30"/>
      <c r="KF10" s="30"/>
      <c r="KG10" s="30"/>
      <c r="KH10" s="30"/>
      <c r="KI10" s="30"/>
      <c r="KJ10" s="30"/>
      <c r="KK10" s="30"/>
      <c r="KL10" s="30"/>
      <c r="KM10" s="30"/>
      <c r="KN10" s="30"/>
      <c r="KO10" s="30"/>
      <c r="KP10" s="30"/>
      <c r="KQ10" s="30"/>
      <c r="KR10" s="30"/>
      <c r="KS10" s="30"/>
      <c r="KT10" s="30"/>
      <c r="KU10" s="30"/>
      <c r="KV10" s="30"/>
      <c r="KW10" s="30"/>
      <c r="KX10" s="30"/>
      <c r="KY10" s="30"/>
      <c r="KZ10" s="30"/>
      <c r="LA10" s="30"/>
      <c r="LB10" s="30"/>
      <c r="LC10" s="30"/>
      <c r="LD10" s="30"/>
      <c r="LE10" s="30"/>
      <c r="LF10" s="30"/>
      <c r="LG10" s="30"/>
      <c r="LH10" s="30"/>
      <c r="LI10" s="30"/>
      <c r="LJ10" s="30"/>
      <c r="LK10" s="30"/>
      <c r="LL10" s="30"/>
      <c r="LM10" s="30"/>
      <c r="LN10" s="30"/>
      <c r="LO10" s="30"/>
      <c r="LP10" s="30"/>
      <c r="LQ10" s="30"/>
      <c r="LR10" s="30"/>
      <c r="LS10" s="30"/>
      <c r="LT10" s="30"/>
      <c r="LU10" s="30"/>
      <c r="LV10" s="30"/>
      <c r="LW10" s="30"/>
      <c r="LX10" s="30"/>
      <c r="LY10" s="30"/>
      <c r="LZ10" s="30"/>
      <c r="MA10" s="30"/>
      <c r="MB10" s="30"/>
      <c r="MC10" s="30"/>
      <c r="MD10" s="30"/>
    </row>
    <row r="11" spans="1:342" s="1" customFormat="1" ht="14.4" thickBot="1">
      <c r="A11" s="30"/>
      <c r="B11" s="30"/>
      <c r="C11" s="512" t="s">
        <v>41</v>
      </c>
      <c r="D11" s="89">
        <f>SUM(D9:D10)</f>
        <v>88559.83746000001</v>
      </c>
      <c r="E11" s="89">
        <f>SUM(E9:E10)</f>
        <v>94191.214500000002</v>
      </c>
      <c r="F11" s="89">
        <f>SUM(F9:F10)</f>
        <v>99354.351600000009</v>
      </c>
      <c r="G11" s="89">
        <f>SUM(G9:G10)</f>
        <v>104137.79823</v>
      </c>
      <c r="H11" s="89">
        <f>SUM(H9:H10)</f>
        <v>109415.19042</v>
      </c>
      <c r="I11" s="49"/>
      <c r="J11" s="515">
        <f>SUM(J9:J10)</f>
        <v>10303.238589087492</v>
      </c>
      <c r="K11" s="30"/>
      <c r="L11" s="513">
        <f>SUM(L9:L10)</f>
        <v>142050.32127000001</v>
      </c>
      <c r="M11" s="518"/>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c r="IW11" s="30"/>
      <c r="IX11" s="30"/>
      <c r="IY11" s="30"/>
      <c r="IZ11" s="30"/>
      <c r="JA11" s="30"/>
      <c r="JB11" s="30"/>
      <c r="JC11" s="30"/>
      <c r="JD11" s="30"/>
      <c r="JE11" s="30"/>
      <c r="JF11" s="30"/>
      <c r="JG11" s="30"/>
      <c r="JH11" s="30"/>
      <c r="JI11" s="30"/>
      <c r="JJ11" s="30"/>
      <c r="JK11" s="30"/>
      <c r="JL11" s="30"/>
      <c r="JM11" s="30"/>
      <c r="JN11" s="30"/>
      <c r="JO11" s="30"/>
      <c r="JP11" s="30"/>
      <c r="JQ11" s="30"/>
      <c r="JR11" s="30"/>
      <c r="JS11" s="30"/>
      <c r="JT11" s="30"/>
      <c r="JU11" s="30"/>
      <c r="JV11" s="30"/>
      <c r="JW11" s="30"/>
      <c r="JX11" s="30"/>
      <c r="JY11" s="30"/>
      <c r="JZ11" s="30"/>
      <c r="KA11" s="30"/>
      <c r="KB11" s="30"/>
      <c r="KC11" s="30"/>
      <c r="KD11" s="30"/>
      <c r="KE11" s="30"/>
      <c r="KF11" s="30"/>
      <c r="KG11" s="30"/>
      <c r="KH11" s="30"/>
      <c r="KI11" s="30"/>
      <c r="KJ11" s="30"/>
      <c r="KK11" s="30"/>
      <c r="KL11" s="30"/>
      <c r="KM11" s="30"/>
      <c r="KN11" s="30"/>
      <c r="KO11" s="30"/>
      <c r="KP11" s="30"/>
      <c r="KQ11" s="30"/>
      <c r="KR11" s="30"/>
      <c r="KS11" s="30"/>
      <c r="KT11" s="30"/>
      <c r="KU11" s="30"/>
      <c r="KV11" s="30"/>
      <c r="KW11" s="30"/>
      <c r="KX11" s="30"/>
      <c r="KY11" s="30"/>
      <c r="KZ11" s="30"/>
      <c r="LA11" s="30"/>
      <c r="LB11" s="30"/>
      <c r="LC11" s="30"/>
      <c r="LD11" s="30"/>
      <c r="LE11" s="30"/>
      <c r="LF11" s="30"/>
      <c r="LG11" s="30"/>
      <c r="LH11" s="30"/>
      <c r="LI11" s="30"/>
      <c r="LJ11" s="30"/>
      <c r="LK11" s="30"/>
      <c r="LL11" s="30"/>
      <c r="LM11" s="30"/>
      <c r="LN11" s="30"/>
      <c r="LO11" s="30"/>
      <c r="LP11" s="30"/>
      <c r="LQ11" s="30"/>
      <c r="LR11" s="30"/>
      <c r="LS11" s="30"/>
      <c r="LT11" s="30"/>
      <c r="LU11" s="30"/>
      <c r="LV11" s="30"/>
      <c r="LW11" s="30"/>
      <c r="LX11" s="30"/>
      <c r="LY11" s="30"/>
      <c r="LZ11" s="30"/>
      <c r="MA11" s="30"/>
      <c r="MB11" s="30"/>
      <c r="MC11" s="30"/>
      <c r="MD11" s="30"/>
    </row>
    <row r="12" spans="1:342" s="1" customFormat="1">
      <c r="A12" s="30"/>
      <c r="B12" s="30"/>
      <c r="C12" s="30"/>
      <c r="D12" s="46"/>
      <c r="E12" s="46"/>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c r="JE12" s="30"/>
      <c r="JF12" s="30"/>
      <c r="JG12" s="30"/>
      <c r="JH12" s="30"/>
      <c r="JI12" s="30"/>
      <c r="JJ12" s="30"/>
      <c r="JK12" s="30"/>
      <c r="JL12" s="30"/>
      <c r="JM12" s="30"/>
      <c r="JN12" s="30"/>
      <c r="JO12" s="30"/>
      <c r="JP12" s="30"/>
      <c r="JQ12" s="30"/>
      <c r="JR12" s="30"/>
      <c r="JS12" s="30"/>
      <c r="JT12" s="30"/>
      <c r="JU12" s="30"/>
      <c r="JV12" s="30"/>
      <c r="JW12" s="30"/>
      <c r="JX12" s="30"/>
      <c r="JY12" s="30"/>
      <c r="JZ12" s="30"/>
      <c r="KA12" s="30"/>
      <c r="KB12" s="30"/>
      <c r="KC12" s="30"/>
      <c r="KD12" s="30"/>
      <c r="KE12" s="30"/>
      <c r="KF12" s="30"/>
      <c r="KG12" s="30"/>
      <c r="KH12" s="30"/>
      <c r="KI12" s="30"/>
      <c r="KJ12" s="30"/>
      <c r="KK12" s="30"/>
      <c r="KL12" s="30"/>
      <c r="KM12" s="30"/>
      <c r="KN12" s="30"/>
      <c r="KO12" s="30"/>
      <c r="KP12" s="30"/>
      <c r="KQ12" s="30"/>
      <c r="KR12" s="30"/>
      <c r="KS12" s="30"/>
      <c r="KT12" s="30"/>
      <c r="KU12" s="30"/>
      <c r="KV12" s="30"/>
      <c r="KW12" s="30"/>
      <c r="KX12" s="30"/>
      <c r="KY12" s="30"/>
      <c r="KZ12" s="30"/>
      <c r="LA12" s="30"/>
      <c r="LB12" s="30"/>
      <c r="LC12" s="30"/>
      <c r="LD12" s="30"/>
      <c r="LE12" s="30"/>
      <c r="LF12" s="30"/>
      <c r="LG12" s="30"/>
      <c r="LH12" s="30"/>
      <c r="LI12" s="30"/>
      <c r="LJ12" s="30"/>
      <c r="LK12" s="30"/>
      <c r="LL12" s="30"/>
      <c r="LM12" s="30"/>
      <c r="LN12" s="30"/>
      <c r="LO12" s="30"/>
      <c r="LP12" s="30"/>
      <c r="LQ12" s="30"/>
      <c r="LR12" s="30"/>
      <c r="LS12" s="30"/>
      <c r="LT12" s="30"/>
      <c r="LU12" s="30"/>
      <c r="LV12" s="30"/>
      <c r="LW12" s="30"/>
      <c r="LX12" s="30"/>
      <c r="LY12" s="30"/>
      <c r="LZ12" s="30"/>
      <c r="MA12" s="30"/>
      <c r="MB12" s="30"/>
      <c r="MC12" s="30"/>
      <c r="MD12" s="30"/>
    </row>
    <row r="13" spans="1:342" s="1" customFormat="1">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c r="KI13" s="30"/>
      <c r="KJ13" s="30"/>
      <c r="KK13" s="30"/>
      <c r="KL13" s="30"/>
      <c r="KM13" s="30"/>
      <c r="KN13" s="30"/>
      <c r="KO13" s="30"/>
      <c r="KP13" s="30"/>
      <c r="KQ13" s="30"/>
      <c r="KR13" s="30"/>
      <c r="KS13" s="30"/>
      <c r="KT13" s="30"/>
      <c r="KU13" s="30"/>
      <c r="KV13" s="30"/>
      <c r="KW13" s="30"/>
      <c r="KX13" s="30"/>
      <c r="KY13" s="30"/>
      <c r="KZ13" s="30"/>
      <c r="LA13" s="30"/>
      <c r="LB13" s="30"/>
      <c r="LC13" s="30"/>
      <c r="LD13" s="30"/>
      <c r="LE13" s="30"/>
      <c r="LF13" s="30"/>
      <c r="LG13" s="30"/>
      <c r="LH13" s="30"/>
      <c r="LI13" s="30"/>
      <c r="LJ13" s="30"/>
      <c r="LK13" s="30"/>
      <c r="LL13" s="30"/>
      <c r="LM13" s="30"/>
      <c r="LN13" s="30"/>
      <c r="LO13" s="30"/>
      <c r="LP13" s="30"/>
      <c r="LQ13" s="30"/>
      <c r="LR13" s="30"/>
      <c r="LS13" s="30"/>
      <c r="LT13" s="30"/>
      <c r="LU13" s="30"/>
      <c r="LV13" s="30"/>
      <c r="LW13" s="30"/>
      <c r="LX13" s="30"/>
      <c r="LY13" s="30"/>
      <c r="LZ13" s="30"/>
      <c r="MA13" s="30"/>
      <c r="MB13" s="30"/>
      <c r="MC13" s="30"/>
      <c r="MD13" s="30"/>
    </row>
    <row r="14" spans="1:342" s="1" customFormat="1" ht="24" thickBot="1">
      <c r="A14" s="30"/>
      <c r="B14" s="47" t="s">
        <v>101</v>
      </c>
      <c r="C14" s="47"/>
      <c r="D14" s="47"/>
      <c r="E14" s="47"/>
      <c r="F14" s="47"/>
      <c r="G14" s="47"/>
      <c r="H14" s="47"/>
      <c r="I14" s="47"/>
      <c r="J14" s="47"/>
      <c r="K14" s="47"/>
      <c r="L14" s="47"/>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row>
    <row r="15" spans="1:342" s="1" customFormat="1" ht="14.4" thickBot="1">
      <c r="A15" s="30"/>
      <c r="B15" s="350" t="s">
        <v>39</v>
      </c>
      <c r="C15" s="351" t="s">
        <v>66</v>
      </c>
      <c r="D15" s="343">
        <v>2021</v>
      </c>
      <c r="E15" s="344">
        <v>2022</v>
      </c>
      <c r="F15" s="344">
        <v>2023</v>
      </c>
      <c r="G15" s="344">
        <v>2024</v>
      </c>
      <c r="H15" s="344">
        <v>2025</v>
      </c>
      <c r="I15" s="344">
        <v>2026</v>
      </c>
      <c r="J15" s="344">
        <f t="shared" ref="J15" si="1">I15 +1</f>
        <v>2027</v>
      </c>
      <c r="K15" s="344">
        <f t="shared" ref="K15" si="2">J15 +1</f>
        <v>2028</v>
      </c>
      <c r="L15" s="344">
        <f t="shared" ref="L15" si="3">K15 +1</f>
        <v>2029</v>
      </c>
      <c r="M15" s="344">
        <f t="shared" ref="M15" si="4">L15 +1</f>
        <v>2030</v>
      </c>
      <c r="N15" s="344">
        <f t="shared" ref="N15" si="5">M15 +1</f>
        <v>2031</v>
      </c>
      <c r="O15" s="344">
        <f t="shared" ref="O15" si="6">N15 +1</f>
        <v>2032</v>
      </c>
      <c r="P15" s="344">
        <f t="shared" ref="P15" si="7">O15 +1</f>
        <v>2033</v>
      </c>
      <c r="Q15" s="344">
        <f t="shared" ref="Q15" si="8">P15 +1</f>
        <v>2034</v>
      </c>
      <c r="R15" s="344">
        <f t="shared" ref="R15" si="9">Q15 +1</f>
        <v>2035</v>
      </c>
      <c r="S15" s="345">
        <f t="shared" ref="S15" si="10">R15 +1</f>
        <v>2036</v>
      </c>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c r="IW15" s="30"/>
      <c r="IX15" s="30"/>
      <c r="IY15" s="30"/>
      <c r="IZ15" s="30"/>
      <c r="JA15" s="30"/>
      <c r="JB15" s="30"/>
      <c r="JC15" s="30"/>
      <c r="JD15" s="30"/>
      <c r="JE15" s="30"/>
      <c r="JF15" s="30"/>
      <c r="JG15" s="30"/>
      <c r="JH15" s="30"/>
      <c r="JI15" s="30"/>
      <c r="JJ15" s="30"/>
      <c r="JK15" s="30"/>
      <c r="JL15" s="30"/>
      <c r="JM15" s="30"/>
      <c r="JN15" s="30"/>
      <c r="JO15" s="30"/>
      <c r="JP15" s="30"/>
      <c r="JQ15" s="30"/>
      <c r="JR15" s="30"/>
      <c r="JS15" s="30"/>
      <c r="JT15" s="30"/>
      <c r="JU15" s="30"/>
      <c r="JV15" s="30"/>
      <c r="JW15" s="30"/>
      <c r="JX15" s="30"/>
      <c r="JY15" s="30"/>
      <c r="JZ15" s="30"/>
      <c r="KA15" s="30"/>
      <c r="KB15" s="30"/>
      <c r="KC15" s="30"/>
      <c r="KD15" s="30"/>
      <c r="KE15" s="30"/>
      <c r="KF15" s="30"/>
      <c r="KG15" s="30"/>
      <c r="KH15" s="30"/>
      <c r="KI15" s="30"/>
      <c r="KJ15" s="30"/>
      <c r="KK15" s="30"/>
      <c r="KL15" s="30"/>
      <c r="KM15" s="30"/>
      <c r="KN15" s="30"/>
      <c r="KO15" s="30"/>
      <c r="KP15" s="30"/>
      <c r="KQ15" s="30"/>
      <c r="KR15" s="30"/>
      <c r="KS15" s="30"/>
      <c r="KT15" s="30"/>
      <c r="KU15" s="30"/>
      <c r="KV15" s="30"/>
      <c r="KW15" s="30"/>
      <c r="KX15" s="30"/>
      <c r="KY15" s="30"/>
      <c r="KZ15" s="30"/>
      <c r="LA15" s="30"/>
      <c r="LB15" s="30"/>
      <c r="LC15" s="30"/>
      <c r="LD15" s="30"/>
      <c r="LE15" s="30"/>
      <c r="LF15" s="30"/>
      <c r="LG15" s="30"/>
      <c r="LH15" s="30"/>
      <c r="LI15" s="30"/>
      <c r="LJ15" s="30"/>
      <c r="LK15" s="30"/>
      <c r="LL15" s="30"/>
      <c r="LM15" s="30"/>
      <c r="LN15" s="30"/>
      <c r="LO15" s="30"/>
      <c r="LP15" s="30"/>
      <c r="LQ15" s="30"/>
      <c r="LR15" s="30"/>
      <c r="LS15" s="30"/>
      <c r="LT15" s="30"/>
      <c r="LU15" s="30"/>
      <c r="LV15" s="30"/>
      <c r="LW15" s="30"/>
      <c r="LX15" s="30"/>
      <c r="LY15" s="30"/>
      <c r="LZ15" s="30"/>
      <c r="MA15" s="30"/>
      <c r="MB15" s="30"/>
      <c r="MC15" s="30"/>
      <c r="MD15" s="30"/>
    </row>
    <row r="16" spans="1:342" s="1" customFormat="1" ht="14.4">
      <c r="A16" s="30"/>
      <c r="B16" s="95">
        <f>B9</f>
        <v>1</v>
      </c>
      <c r="C16" s="95" t="str">
        <f>C9</f>
        <v>Citywide</v>
      </c>
      <c r="D16" s="97"/>
      <c r="E16" s="98">
        <f>($E9-$D9)/5</f>
        <v>1126.2754079999984</v>
      </c>
      <c r="F16" s="98">
        <f>($E9-$D9)/5</f>
        <v>1126.2754079999984</v>
      </c>
      <c r="G16" s="98">
        <f>($E9-$D9)/5</f>
        <v>1126.2754079999984</v>
      </c>
      <c r="H16" s="98">
        <f>($E9-$D9)/5</f>
        <v>1126.2754079999984</v>
      </c>
      <c r="I16" s="98">
        <f>($E9-$D9)/5</f>
        <v>1126.2754079999984</v>
      </c>
      <c r="J16" s="98">
        <f>($F$9-$E$9)/5</f>
        <v>1032.6274200000014</v>
      </c>
      <c r="K16" s="98">
        <f>($F$9-$E$9)/5</f>
        <v>1032.6274200000014</v>
      </c>
      <c r="L16" s="98">
        <f>($F$9-$E$9)/5</f>
        <v>1032.6274200000014</v>
      </c>
      <c r="M16" s="98">
        <f>($F$9-$E$9)/5</f>
        <v>1032.6274200000014</v>
      </c>
      <c r="N16" s="98">
        <f>($F$9-$E$9)/5</f>
        <v>1032.6274200000014</v>
      </c>
      <c r="O16" s="98">
        <f>($G$9-$F$9)/5</f>
        <v>956.68932599999823</v>
      </c>
      <c r="P16" s="98">
        <f>($G$9-$F$9)/5</f>
        <v>956.68932599999823</v>
      </c>
      <c r="Q16" s="98">
        <f>($G$9-$F$9)/5</f>
        <v>956.68932599999823</v>
      </c>
      <c r="R16" s="98">
        <f>($G$9-$F$9)/5</f>
        <v>956.68932599999823</v>
      </c>
      <c r="S16" s="100">
        <f>($G$9-$F$9)/5</f>
        <v>956.68932599999823</v>
      </c>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c r="IW16" s="30"/>
      <c r="IX16" s="30"/>
      <c r="IY16" s="30"/>
      <c r="IZ16" s="30"/>
      <c r="JA16" s="30"/>
      <c r="JB16" s="30"/>
      <c r="JC16" s="30"/>
      <c r="JD16" s="30"/>
      <c r="JE16" s="30"/>
      <c r="JF16" s="30"/>
      <c r="JG16" s="30"/>
      <c r="JH16" s="30"/>
      <c r="JI16" s="30"/>
      <c r="JJ16" s="30"/>
      <c r="JK16" s="30"/>
      <c r="JL16" s="30"/>
      <c r="JM16" s="30"/>
      <c r="JN16" s="30"/>
      <c r="JO16" s="30"/>
      <c r="JP16" s="30"/>
      <c r="JQ16" s="30"/>
      <c r="JR16" s="30"/>
      <c r="JS16" s="30"/>
      <c r="JT16" s="30"/>
      <c r="JU16" s="30"/>
      <c r="JV16" s="30"/>
      <c r="JW16" s="30"/>
      <c r="JX16" s="30"/>
      <c r="JY16" s="30"/>
      <c r="JZ16" s="30"/>
      <c r="KA16" s="30"/>
      <c r="KB16" s="30"/>
      <c r="KC16" s="30"/>
      <c r="KD16" s="30"/>
      <c r="KE16" s="30"/>
      <c r="KF16" s="30"/>
      <c r="KG16" s="30"/>
      <c r="KH16" s="30"/>
      <c r="KI16" s="30"/>
      <c r="KJ16" s="30"/>
      <c r="KK16" s="30"/>
      <c r="KL16" s="30"/>
      <c r="KM16" s="30"/>
      <c r="KN16" s="30"/>
      <c r="KO16" s="30"/>
      <c r="KP16" s="30"/>
      <c r="KQ16" s="30"/>
      <c r="KR16" s="30"/>
      <c r="KS16" s="30"/>
      <c r="KT16" s="30"/>
      <c r="KU16" s="30"/>
      <c r="KV16" s="30"/>
      <c r="KW16" s="30"/>
      <c r="KX16" s="30"/>
      <c r="KY16" s="30"/>
      <c r="KZ16" s="30"/>
      <c r="LA16" s="30"/>
      <c r="LB16" s="30"/>
      <c r="LC16" s="30"/>
      <c r="LD16" s="30"/>
      <c r="LE16" s="30"/>
      <c r="LF16" s="30"/>
      <c r="LG16" s="30"/>
      <c r="LH16" s="30"/>
      <c r="LI16" s="30"/>
      <c r="LJ16" s="30"/>
      <c r="LK16" s="30"/>
      <c r="LL16" s="30"/>
      <c r="LM16" s="30"/>
      <c r="LN16" s="30"/>
      <c r="LO16" s="30"/>
      <c r="LP16" s="30"/>
      <c r="LQ16" s="30"/>
      <c r="LR16" s="30"/>
      <c r="LS16" s="30"/>
      <c r="LT16" s="30"/>
      <c r="LU16" s="30"/>
      <c r="LV16" s="30"/>
      <c r="LW16" s="30"/>
      <c r="LX16" s="30"/>
      <c r="LY16" s="30"/>
      <c r="LZ16" s="30"/>
      <c r="MA16" s="30"/>
      <c r="MB16" s="30"/>
      <c r="MC16" s="30"/>
      <c r="MD16" s="30"/>
    </row>
    <row r="17" spans="1:342" s="1" customFormat="1" ht="15" thickBot="1">
      <c r="A17" s="30"/>
      <c r="B17" s="226"/>
      <c r="C17" s="226"/>
      <c r="D17" s="227"/>
      <c r="E17" s="228"/>
      <c r="F17" s="228"/>
      <c r="G17" s="228"/>
      <c r="H17" s="228"/>
      <c r="I17" s="228"/>
      <c r="J17" s="228"/>
      <c r="K17" s="228"/>
      <c r="L17" s="228"/>
      <c r="M17" s="228"/>
      <c r="N17" s="228"/>
      <c r="O17" s="228"/>
      <c r="P17" s="228"/>
      <c r="Q17" s="228"/>
      <c r="R17" s="228"/>
      <c r="S17" s="229"/>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c r="JE17" s="30"/>
      <c r="JF17" s="30"/>
      <c r="JG17" s="30"/>
      <c r="JH17" s="30"/>
      <c r="JI17" s="30"/>
      <c r="JJ17" s="30"/>
      <c r="JK17" s="30"/>
      <c r="JL17" s="30"/>
      <c r="JM17" s="30"/>
      <c r="JN17" s="30"/>
      <c r="JO17" s="30"/>
      <c r="JP17" s="30"/>
      <c r="JQ17" s="30"/>
      <c r="JR17" s="30"/>
      <c r="JS17" s="30"/>
      <c r="JT17" s="30"/>
      <c r="JU17" s="30"/>
      <c r="JV17" s="30"/>
      <c r="JW17" s="30"/>
      <c r="JX17" s="30"/>
      <c r="JY17" s="30"/>
      <c r="JZ17" s="30"/>
      <c r="KA17" s="30"/>
      <c r="KB17" s="30"/>
      <c r="KC17" s="30"/>
      <c r="KD17" s="30"/>
      <c r="KE17" s="30"/>
      <c r="KF17" s="30"/>
      <c r="KG17" s="30"/>
      <c r="KH17" s="30"/>
      <c r="KI17" s="30"/>
      <c r="KJ17" s="30"/>
      <c r="KK17" s="30"/>
      <c r="KL17" s="30"/>
      <c r="KM17" s="30"/>
      <c r="KN17" s="30"/>
      <c r="KO17" s="30"/>
      <c r="KP17" s="30"/>
      <c r="KQ17" s="30"/>
      <c r="KR17" s="30"/>
      <c r="KS17" s="30"/>
      <c r="KT17" s="30"/>
      <c r="KU17" s="30"/>
      <c r="KV17" s="30"/>
      <c r="KW17" s="30"/>
      <c r="KX17" s="30"/>
      <c r="KY17" s="30"/>
      <c r="KZ17" s="30"/>
      <c r="LA17" s="30"/>
      <c r="LB17" s="30"/>
      <c r="LC17" s="30"/>
      <c r="LD17" s="30"/>
      <c r="LE17" s="30"/>
      <c r="LF17" s="30"/>
      <c r="LG17" s="30"/>
      <c r="LH17" s="30"/>
      <c r="LI17" s="30"/>
      <c r="LJ17" s="30"/>
      <c r="LK17" s="30"/>
      <c r="LL17" s="30"/>
      <c r="LM17" s="30"/>
      <c r="LN17" s="30"/>
      <c r="LO17" s="30"/>
      <c r="LP17" s="30"/>
      <c r="LQ17" s="30"/>
      <c r="LR17" s="30"/>
      <c r="LS17" s="30"/>
      <c r="LT17" s="30"/>
      <c r="LU17" s="30"/>
      <c r="LV17" s="30"/>
      <c r="LW17" s="30"/>
      <c r="LX17" s="30"/>
      <c r="LY17" s="30"/>
      <c r="LZ17" s="30"/>
      <c r="MA17" s="30"/>
      <c r="MB17" s="30"/>
      <c r="MC17" s="30"/>
      <c r="MD17" s="30"/>
    </row>
    <row r="20" spans="1:342">
      <c r="D20" s="50"/>
    </row>
    <row r="23" spans="1:342" ht="15" customHeight="1"/>
    <row r="24" spans="1:342" ht="15.75" customHeight="1"/>
  </sheetData>
  <mergeCells count="3">
    <mergeCell ref="B2:L2"/>
    <mergeCell ref="B4:L4"/>
    <mergeCell ref="B6:L6"/>
  </mergeCells>
  <hyperlinks>
    <hyperlink ref="B1" location="'Navigation Pane'!A1" display="Return to Navigation Pane" xr:uid="{08717ECC-4229-47C1-B088-DC2EF2AE44D4}"/>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Active and Public Transport Network - &amp;A
&amp;"Arial,Bold"&amp;K000000Effective 27th June 2025&amp;R&amp;"Arial,Regular"&amp;10Page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dimension ref="A2:K16"/>
  <sheetViews>
    <sheetView tabSelected="1" zoomScale="70" zoomScaleNormal="70" workbookViewId="0">
      <selection activeCell="D8" sqref="D8:P9"/>
    </sheetView>
  </sheetViews>
  <sheetFormatPr defaultColWidth="25.59765625" defaultRowHeight="13.8"/>
  <cols>
    <col min="1" max="1" width="4.59765625" style="7" customWidth="1"/>
    <col min="2" max="2" width="25.5" style="7" bestFit="1" customWidth="1"/>
    <col min="3" max="3" width="12.59765625" style="7" customWidth="1"/>
    <col min="4" max="4" width="12.59765625" style="7" bestFit="1" customWidth="1"/>
    <col min="5" max="5" width="16.296875" style="7" bestFit="1" customWidth="1"/>
    <col min="6" max="6" width="16.5" style="7" bestFit="1" customWidth="1"/>
    <col min="7" max="7" width="13.69921875" style="7" bestFit="1" customWidth="1"/>
    <col min="8" max="8" width="16.296875" style="7" bestFit="1" customWidth="1"/>
    <col min="9" max="9" width="16.5" style="7" bestFit="1" customWidth="1"/>
    <col min="10" max="10" width="33.796875" style="7" bestFit="1" customWidth="1"/>
    <col min="11" max="11" width="34" style="7" bestFit="1" customWidth="1"/>
    <col min="12" max="12" width="15.296875" style="7" customWidth="1"/>
    <col min="13" max="16384" width="25.59765625" style="7"/>
  </cols>
  <sheetData>
    <row r="2" spans="1:11" ht="24.6">
      <c r="B2" s="633" t="str">
        <f>'Navigation Pane'!B2</f>
        <v>Brisbane City Council</v>
      </c>
      <c r="C2" s="633"/>
      <c r="D2" s="633"/>
      <c r="E2" s="633"/>
      <c r="F2" s="633"/>
      <c r="G2" s="633"/>
      <c r="H2" s="633"/>
      <c r="I2" s="633"/>
      <c r="J2" s="633"/>
    </row>
    <row r="3" spans="1:11" ht="24.6">
      <c r="B3" s="633"/>
      <c r="C3" s="633"/>
      <c r="D3" s="633"/>
      <c r="E3" s="633"/>
      <c r="F3" s="633"/>
      <c r="G3" s="633"/>
      <c r="H3" s="633"/>
      <c r="I3" s="633"/>
      <c r="J3" s="633"/>
    </row>
    <row r="4" spans="1:11" ht="26.25" customHeight="1">
      <c r="B4" s="465" t="s">
        <v>47</v>
      </c>
    </row>
    <row r="5" spans="1:11" ht="23.4">
      <c r="A5" s="33"/>
      <c r="B5" s="634" t="s">
        <v>78</v>
      </c>
      <c r="C5" s="634"/>
      <c r="D5" s="634"/>
      <c r="E5" s="634"/>
      <c r="F5" s="634"/>
      <c r="G5" s="634"/>
      <c r="H5" s="634"/>
      <c r="I5" s="634"/>
      <c r="J5" s="634"/>
    </row>
    <row r="6" spans="1:11" ht="14.4" thickBot="1"/>
    <row r="7" spans="1:11" ht="23.25" customHeight="1" thickBot="1">
      <c r="B7" s="635" t="s">
        <v>54</v>
      </c>
      <c r="C7" s="637"/>
      <c r="D7" s="635" t="s">
        <v>114</v>
      </c>
      <c r="E7" s="636"/>
      <c r="F7" s="637"/>
      <c r="G7" s="635" t="s">
        <v>108</v>
      </c>
      <c r="H7" s="636"/>
      <c r="I7" s="637"/>
      <c r="J7" s="627" t="s">
        <v>109</v>
      </c>
      <c r="K7" s="627" t="s">
        <v>110</v>
      </c>
    </row>
    <row r="8" spans="1:11" ht="23.25" customHeight="1" thickBot="1">
      <c r="B8" s="239" t="s">
        <v>49</v>
      </c>
      <c r="C8" s="239" t="s">
        <v>61</v>
      </c>
      <c r="D8" s="239" t="s">
        <v>57</v>
      </c>
      <c r="E8" s="239" t="s">
        <v>56</v>
      </c>
      <c r="F8" s="239" t="s">
        <v>55</v>
      </c>
      <c r="G8" s="239" t="s">
        <v>58</v>
      </c>
      <c r="H8" s="239" t="s">
        <v>59</v>
      </c>
      <c r="I8" s="239" t="s">
        <v>60</v>
      </c>
      <c r="J8" s="628"/>
      <c r="K8" s="628"/>
    </row>
    <row r="9" spans="1:11" ht="36" customHeight="1" thickBot="1">
      <c r="B9" s="631" t="s">
        <v>2283</v>
      </c>
      <c r="C9" s="632"/>
      <c r="D9" s="632"/>
      <c r="E9" s="632"/>
      <c r="F9" s="632"/>
      <c r="G9" s="632"/>
      <c r="H9" s="632"/>
      <c r="I9" s="632"/>
      <c r="J9" s="632"/>
      <c r="K9" s="632"/>
    </row>
    <row r="10" spans="1:11">
      <c r="B10" s="36">
        <v>1</v>
      </c>
      <c r="C10" s="37" t="s">
        <v>113</v>
      </c>
      <c r="D10" s="21">
        <f>'Catchment Demand - Ferry'!D11</f>
        <v>88559.83746000001</v>
      </c>
      <c r="E10" s="22">
        <f>'Catchment Demand - Ferry'!J11</f>
        <v>10303.238589087492</v>
      </c>
      <c r="F10" s="25">
        <f>IFERROR(D10+E10,"")</f>
        <v>98863.076049087496</v>
      </c>
      <c r="G10" s="64">
        <f>'Exist Trunk Assets - Ferry'!T43</f>
        <v>183919018</v>
      </c>
      <c r="H10" s="65">
        <f>'Future Trunk Assets - Ferry'!AJ24</f>
        <v>94466004.613086879</v>
      </c>
      <c r="I10" s="66">
        <f>G10+H10</f>
        <v>278385022.61308688</v>
      </c>
      <c r="J10" s="67">
        <f>IFERROR(I10/F10,0)</f>
        <v>2815.8644636432628</v>
      </c>
      <c r="K10" s="67">
        <f>H10/E10</f>
        <v>9168.5739193828831</v>
      </c>
    </row>
    <row r="11" spans="1:11">
      <c r="B11" s="34"/>
      <c r="C11" s="35"/>
      <c r="D11" s="26"/>
      <c r="E11" s="23"/>
      <c r="F11" s="27"/>
      <c r="G11" s="16"/>
      <c r="H11" s="17"/>
      <c r="I11" s="18"/>
      <c r="J11" s="19"/>
      <c r="K11" s="19"/>
    </row>
    <row r="12" spans="1:11" ht="14.4" thickBot="1">
      <c r="B12" s="38"/>
      <c r="C12" s="39"/>
      <c r="D12" s="28"/>
      <c r="E12" s="24"/>
      <c r="F12" s="29"/>
      <c r="G12" s="136"/>
      <c r="H12" s="137"/>
      <c r="I12" s="138"/>
      <c r="J12" s="20"/>
      <c r="K12" s="20"/>
    </row>
    <row r="13" spans="1:11" ht="34.799999999999997" thickBot="1">
      <c r="B13" s="629" t="s">
        <v>117</v>
      </c>
      <c r="C13" s="630"/>
      <c r="D13" s="630"/>
      <c r="E13" s="630"/>
      <c r="F13" s="630"/>
      <c r="G13" s="630"/>
      <c r="H13" s="630"/>
      <c r="I13" s="630"/>
      <c r="J13" s="630"/>
      <c r="K13" s="630"/>
    </row>
    <row r="14" spans="1:11">
      <c r="B14" s="36">
        <v>1</v>
      </c>
      <c r="C14" s="37" t="s">
        <v>113</v>
      </c>
      <c r="D14" s="21">
        <f>'Catchment Demand - Pathway'!D11</f>
        <v>3124508.5999999996</v>
      </c>
      <c r="E14" s="22">
        <f>'Catchment Demand - Pathway'!J11</f>
        <v>338990.56498821336</v>
      </c>
      <c r="F14" s="25">
        <f>IFERROR(D14+E14,"")</f>
        <v>3463499.1649882132</v>
      </c>
      <c r="G14" s="64">
        <f>tblExistPathway[[#Totals],[Current Replacement Cost]]</f>
        <v>291813148</v>
      </c>
      <c r="H14" s="65">
        <f>'Future Trunk Assets - Pathway'!AG104</f>
        <v>557082922.77961862</v>
      </c>
      <c r="I14" s="66">
        <f>G14+H14</f>
        <v>848896070.77961862</v>
      </c>
      <c r="J14" s="67">
        <f>IFERROR(I14/F14,0)</f>
        <v>245.0978130328227</v>
      </c>
      <c r="K14" s="67">
        <f>H14/E14</f>
        <v>1643.3581943467609</v>
      </c>
    </row>
    <row r="15" spans="1:11">
      <c r="B15" s="34"/>
      <c r="C15" s="35"/>
      <c r="D15" s="26"/>
      <c r="E15" s="23"/>
      <c r="F15" s="27"/>
      <c r="G15" s="16"/>
      <c r="H15" s="17"/>
      <c r="I15" s="18"/>
      <c r="J15" s="19"/>
      <c r="K15" s="19"/>
    </row>
    <row r="16" spans="1:11" ht="14.4" thickBot="1">
      <c r="B16" s="38"/>
      <c r="C16" s="39"/>
      <c r="D16" s="28"/>
      <c r="E16" s="24"/>
      <c r="F16" s="29"/>
      <c r="G16" s="136"/>
      <c r="H16" s="137"/>
      <c r="I16" s="138"/>
      <c r="J16" s="20"/>
      <c r="K16" s="20"/>
    </row>
  </sheetData>
  <sheetProtection selectLockedCells="1"/>
  <mergeCells count="10">
    <mergeCell ref="K7:K8"/>
    <mergeCell ref="B13:K13"/>
    <mergeCell ref="J7:J8"/>
    <mergeCell ref="B9:K9"/>
    <mergeCell ref="B2:J2"/>
    <mergeCell ref="B3:J3"/>
    <mergeCell ref="B5:J5"/>
    <mergeCell ref="D7:F7"/>
    <mergeCell ref="G7:I7"/>
    <mergeCell ref="B7:C7"/>
  </mergeCells>
  <hyperlinks>
    <hyperlink ref="B4" location="'Navigation Pane'!A1" display="Return to Navigation Pane" xr:uid="{582BE9B6-53A3-4D8E-B738-A19EF969D82C}"/>
  </hyperlink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Active and Public Transport Network - &amp;A
&amp;"Arial,Bold"&amp;K000000Effective 27th June 2025&amp;R&amp;"Arial,Regular"&amp;10Page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28</vt:i4>
      </vt:variant>
    </vt:vector>
  </HeadingPairs>
  <TitlesOfParts>
    <vt:vector size="37" baseType="lpstr">
      <vt:lpstr>Navigation Pane</vt:lpstr>
      <vt:lpstr>General Input Sheet</vt:lpstr>
      <vt:lpstr>Existing Trunk Assets - Pathway</vt:lpstr>
      <vt:lpstr>Exist Trunk Assets - Ferry</vt:lpstr>
      <vt:lpstr>Future Trunk Assets - Pathway</vt:lpstr>
      <vt:lpstr>Future Trunk Assets - Ferry</vt:lpstr>
      <vt:lpstr>Catchment Demand - Pathway</vt:lpstr>
      <vt:lpstr>Catchment Demand - Ferry</vt:lpstr>
      <vt:lpstr>Summary Cost Schedule</vt:lpstr>
      <vt:lpstr>AssetBeta</vt:lpstr>
      <vt:lpstr>CapStr</vt:lpstr>
      <vt:lpstr>Debt</vt:lpstr>
      <vt:lpstr>Histindex</vt:lpstr>
      <vt:lpstr>Landind</vt:lpstr>
      <vt:lpstr>LandInd_Existing</vt:lpstr>
      <vt:lpstr>MArgin</vt:lpstr>
      <vt:lpstr>PPI</vt:lpstr>
      <vt:lpstr>PPI_Existing</vt:lpstr>
      <vt:lpstr>'Catchment Demand - Ferry'!Print_Area</vt:lpstr>
      <vt:lpstr>'Catchment Demand - Pathway'!Print_Area</vt:lpstr>
      <vt:lpstr>'Exist Trunk Assets - Ferry'!Print_Area</vt:lpstr>
      <vt:lpstr>'Existing Trunk Assets - Pathway'!Print_Area</vt:lpstr>
      <vt:lpstr>'Future Trunk Assets - Ferry'!Print_Area</vt:lpstr>
      <vt:lpstr>'Future Trunk Assets - Pathway'!Print_Area</vt:lpstr>
      <vt:lpstr>'General Input Sheet'!Print_Area</vt:lpstr>
      <vt:lpstr>'Navigation Pane'!Print_Area</vt:lpstr>
      <vt:lpstr>'Summary Cost Schedule'!Print_Area</vt:lpstr>
      <vt:lpstr>'Exist Trunk Assets - Ferry'!Print_Titles</vt:lpstr>
      <vt:lpstr>'Existing Trunk Assets - Pathway'!Print_Titles</vt:lpstr>
      <vt:lpstr>'Future Trunk Assets - Ferry'!Print_Titles</vt:lpstr>
      <vt:lpstr>'Future Trunk Assets - Pathway'!Print_Titles</vt:lpstr>
      <vt:lpstr>Risk</vt:lpstr>
      <vt:lpstr>TENYr</vt:lpstr>
      <vt:lpstr>WACC</vt:lpstr>
      <vt:lpstr>WACC1</vt:lpstr>
      <vt:lpstr>WACC2</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2024-11-06T04:24:27Z</dcterms:created>
  <dcterms:modified xsi:type="dcterms:W3CDTF">2025-04-04T01:30:26Z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ee035-5707-4242-a1ea-c505f8033d0a_Enabled">
    <vt:lpwstr>true</vt:lpwstr>
  </property>
  <property fmtid="{D5CDD505-2E9C-101B-9397-08002B2CF9AE}" pid="3" name="MSIP_Label_8b1ee035-5707-4242-a1ea-c505f8033d0a_SetDate">
    <vt:lpwstr>2024-11-06T04:24:50Z</vt:lpwstr>
  </property>
  <property fmtid="{D5CDD505-2E9C-101B-9397-08002B2CF9AE}" pid="4" name="MSIP_Label_8b1ee035-5707-4242-a1ea-c505f8033d0a_Method">
    <vt:lpwstr>Standard</vt:lpwstr>
  </property>
  <property fmtid="{D5CDD505-2E9C-101B-9397-08002B2CF9AE}" pid="5" name="MSIP_Label_8b1ee035-5707-4242-a1ea-c505f8033d0a_Name">
    <vt:lpwstr>OFFICIAL</vt:lpwstr>
  </property>
  <property fmtid="{D5CDD505-2E9C-101B-9397-08002B2CF9AE}" pid="6" name="MSIP_Label_8b1ee035-5707-4242-a1ea-c505f8033d0a_SiteId">
    <vt:lpwstr>a47f8d5a-a5f2-4813-a71a-f0d70679e236</vt:lpwstr>
  </property>
  <property fmtid="{D5CDD505-2E9C-101B-9397-08002B2CF9AE}" pid="7" name="MSIP_Label_8b1ee035-5707-4242-a1ea-c505f8033d0a_ActionId">
    <vt:lpwstr>bba62868-8b9d-462c-b0e8-6fdcb08a11a0</vt:lpwstr>
  </property>
  <property fmtid="{D5CDD505-2E9C-101B-9397-08002B2CF9AE}" pid="8" name="MSIP_Label_8b1ee035-5707-4242-a1ea-c505f8033d0a_ContentBits">
    <vt:lpwstr>2</vt:lpwstr>
  </property>
</Properties>
</file>